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465" windowWidth="14430" windowHeight="11160" tabRatio="647" firstSheet="5" activeTab="5"/>
  </bookViews>
  <sheets>
    <sheet name="TSheet" sheetId="1" state="veryHidden" r:id="rId1"/>
    <sheet name="SheetOrgReestr" sheetId="2" state="veryHidden" r:id="rId2"/>
    <sheet name="Инструкция" sheetId="3" state="hidden" r:id="rId3"/>
    <sheet name="OrgReestrTemp" sheetId="4" state="veryHidden" r:id="rId4"/>
    <sheet name="Титульный" sheetId="5" state="hidden" r:id="rId5"/>
    <sheet name="Баланс ЭЭ" sheetId="6" r:id="rId6"/>
    <sheet name="Баланс мощность" sheetId="7" r:id="rId7"/>
    <sheet name="Комментарии" sheetId="8" state="hidden" r:id="rId8"/>
    <sheet name="Проверка" sheetId="9" state="hidden" r:id="rId9"/>
  </sheets>
  <definedNames>
    <definedName name="_xlfn.IFERROR" hidden="1">#NAME?</definedName>
    <definedName name="B_FIO">'Титульный'!$F$33</definedName>
    <definedName name="B_POST">'Титульный'!$F$34</definedName>
    <definedName name="CHECK_RNG">'Проверка'!$E$12:$G$13</definedName>
    <definedName name="COMPANY">'Титульный'!$F$14</definedName>
    <definedName name="CONS_GROUP">'TSheet'!$S$2:$S$10</definedName>
    <definedName name="CONS_ID">'TSheet'!$V$2:$V$10</definedName>
    <definedName name="EXE_EMAIL">'Титульный'!$F$40</definedName>
    <definedName name="EXE_FIO">'Титульный'!$F$37</definedName>
    <definedName name="EXE_PHONE">'Титульный'!$F$39</definedName>
    <definedName name="EXE_POST">'Титульный'!$F$38</definedName>
    <definedName name="FORMCODE">'TSheet'!$C$2</definedName>
    <definedName name="FORMID">'TSheet'!$C$1</definedName>
    <definedName name="FORMNAME">'TSheet'!$C$3</definedName>
    <definedName name="FSK">'Титульный'!$F$26</definedName>
    <definedName name="FUEL_GROUP">'TSheet'!$P$2:$P$10</definedName>
    <definedName name="ID">'Титульный'!$A$1</definedName>
    <definedName name="INN">'Титульный'!$F$16</definedName>
    <definedName name="KPP">'Титульный'!$F$17</definedName>
    <definedName name="LIST_ORG_REESTR">'SheetOrgReestr'!$A$2:$E$31</definedName>
    <definedName name="MONTH_PERIOD">'Титульный'!$F$23</definedName>
    <definedName name="NET_GROUP">'TSheet'!$R$2:$R$51</definedName>
    <definedName name="NET_ID">'TSheet'!$U$2:$U$51</definedName>
    <definedName name="OR_REFRESH_DATE" localSheetId="4">'Титульный'!$F$12</definedName>
    <definedName name="ORG_REESTR_TEMP_LIST">'OrgReestrTemp'!$A$2:$E$2</definedName>
    <definedName name="PAddress">'Титульный'!$F$30</definedName>
    <definedName name="PCOMPANY" localSheetId="0">'TSheet'!$C$6</definedName>
    <definedName name="PF">'Титульный'!$F$19</definedName>
    <definedName name="PPERIOD" localSheetId="0">'TSheet'!$C$7</definedName>
    <definedName name="PPERIOD2" localSheetId="0">'TSheet'!$C$8</definedName>
    <definedName name="PPF" localSheetId="0">'TSheet'!$C$9</definedName>
    <definedName name="PSPHERE" localSheetId="0">'TSheet'!$C$5</definedName>
    <definedName name="SCOPE_LOAD_1">'Баланс ЭЭ'!$E$15:$K$68</definedName>
    <definedName name="SCOPE_LOAD_2">'Баланс мощность'!$E$15:$K$101</definedName>
    <definedName name="UAdrress">'Титульный'!$F$29</definedName>
    <definedName name="VERSION">'TSheet'!$C$4</definedName>
    <definedName name="YEAR_PERIOD">'Титульный'!$F$22</definedName>
    <definedName name="Год" localSheetId="4">'TSheet'!$G$2:$G$10</definedName>
    <definedName name="Квартал" localSheetId="4">'TSheet'!$H$2:$H$5</definedName>
    <definedName name="Квартал">'TSheet'!$H$2:$H$5</definedName>
    <definedName name="_xlnm.Print_Area" localSheetId="6">'Баланс мощность'!$D$4:$L$102</definedName>
    <definedName name="_xlnm.Print_Area" localSheetId="5">'Баланс ЭЭ'!$C$4:$L$69</definedName>
    <definedName name="_xlnm.Print_Area" localSheetId="2">'Инструкция'!$D$4:$H$36</definedName>
    <definedName name="_xlnm.Print_Area" localSheetId="7">'Комментарии'!$D$4:$H$22</definedName>
    <definedName name="_xlnm.Print_Area" localSheetId="8">'Проверка'!$D$4:$H$14</definedName>
    <definedName name="_xlnm.Print_Area" localSheetId="4">'Титульный'!$D$4:$H$41</definedName>
    <definedName name="ПФ" localSheetId="4">'TSheet'!$I$2:$I$3</definedName>
  </definedNames>
  <calcPr fullCalcOnLoad="1"/>
</workbook>
</file>

<file path=xl/sharedStrings.xml><?xml version="1.0" encoding="utf-8"?>
<sst xmlns="http://schemas.openxmlformats.org/spreadsheetml/2006/main" count="616" uniqueCount="273">
  <si>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</si>
  <si>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</si>
  <si>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</si>
  <si>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</si>
  <si>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</si>
  <si>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</si>
  <si>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</si>
  <si>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</si>
  <si>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</si>
  <si>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</si>
  <si>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</si>
  <si>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</si>
  <si>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</si>
  <si>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</si>
  <si>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</si>
  <si>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</si>
  <si>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</si>
  <si>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</si>
  <si>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</si>
  <si>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</si>
  <si>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</si>
  <si>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</si>
  <si>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</si>
  <si>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</si>
  <si>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Проверка</t>
  </si>
  <si>
    <t>Результаты проверки</t>
  </si>
  <si>
    <t>Адрес</t>
  </si>
  <si>
    <t>Описание ошибки</t>
  </si>
  <si>
    <t>Статус</t>
  </si>
  <si>
    <t>I квартал</t>
  </si>
  <si>
    <t>I полугодие</t>
  </si>
  <si>
    <t>ПФ</t>
  </si>
  <si>
    <t>План</t>
  </si>
  <si>
    <t>Факт</t>
  </si>
  <si>
    <t>Тип отчетности</t>
  </si>
  <si>
    <t>FORMNAME</t>
  </si>
  <si>
    <t>COMPANY</t>
  </si>
  <si>
    <t>PERIOD</t>
  </si>
  <si>
    <t>PF</t>
  </si>
  <si>
    <t>PERIOD2</t>
  </si>
  <si>
    <t>№ п/п</t>
  </si>
  <si>
    <t>783450001</t>
  </si>
  <si>
    <t>781001001</t>
  </si>
  <si>
    <t>780501001</t>
  </si>
  <si>
    <t>ООО "Воздушные ворота северной столицы"</t>
  </si>
  <si>
    <t>7703590927</t>
  </si>
  <si>
    <t>781301001</t>
  </si>
  <si>
    <t>ОАО "Аэропорт "Пулково"</t>
  </si>
  <si>
    <t>ИНСТРУКЦИЯ ПО ЗАПОЛНЕНИЮ ШАБЛОНА</t>
  </si>
  <si>
    <t>Комментарии</t>
  </si>
  <si>
    <t>FORMID</t>
  </si>
  <si>
    <t>7810091320</t>
  </si>
  <si>
    <t>781601001</t>
  </si>
  <si>
    <t>Калькуляция тепло</t>
  </si>
  <si>
    <t>ПО</t>
  </si>
  <si>
    <t>Расчет</t>
  </si>
  <si>
    <t>Добавить</t>
  </si>
  <si>
    <t xml:space="preserve"> </t>
  </si>
  <si>
    <t>781701001</t>
  </si>
  <si>
    <t>1.</t>
  </si>
  <si>
    <t>2.</t>
  </si>
  <si>
    <t>3.</t>
  </si>
  <si>
    <t>HR</t>
  </si>
  <si>
    <t>7708503727</t>
  </si>
  <si>
    <t>3.1.</t>
  </si>
  <si>
    <t>3.2.</t>
  </si>
  <si>
    <t>1.1.</t>
  </si>
  <si>
    <t>EE</t>
  </si>
  <si>
    <t>ЗАО "КировТЭК"</t>
  </si>
  <si>
    <t>7805060502</t>
  </si>
  <si>
    <t>ОАО "ЛОМО"</t>
  </si>
  <si>
    <t>7804002321</t>
  </si>
  <si>
    <t>ОАО "Морской порт Санкт-Петербург"</t>
  </si>
  <si>
    <t>7805025346</t>
  </si>
  <si>
    <t>ЗАО "Канонерский судоремонтный завод"</t>
  </si>
  <si>
    <t>7805377436</t>
  </si>
  <si>
    <t>Услуги по передаче электрической энергии</t>
  </si>
  <si>
    <t>ЗАО "Колпинская сетевая компания"</t>
  </si>
  <si>
    <t>7817309180</t>
  </si>
  <si>
    <t>ЗАО "Курортэнерго"</t>
  </si>
  <si>
    <t>7827007301</t>
  </si>
  <si>
    <t>784301001</t>
  </si>
  <si>
    <t>ЗАО "Региональные электрические сети"</t>
  </si>
  <si>
    <t>7817319686</t>
  </si>
  <si>
    <t>ЗАО "Царскосельская энергетическая компания"</t>
  </si>
  <si>
    <t>7820015416</t>
  </si>
  <si>
    <t>782001001</t>
  </si>
  <si>
    <t>ОАО "Ленэнерго"</t>
  </si>
  <si>
    <t>7803002209</t>
  </si>
  <si>
    <t>ОАО "Оборонэнерго" филиал "Северо-Западный"</t>
  </si>
  <si>
    <t>7704726225</t>
  </si>
  <si>
    <t>784143001</t>
  </si>
  <si>
    <t>ОАО "Оборонэнергосбыт" филиал "Северо-Западный"</t>
  </si>
  <si>
    <t>ОАО "Объединенная энергетическая компания"</t>
  </si>
  <si>
    <t>7810258843</t>
  </si>
  <si>
    <t>ОАО "Петербургская сбытовая компания"</t>
  </si>
  <si>
    <t>ОАО "Петродворцовая электросеть"</t>
  </si>
  <si>
    <t>7819001031</t>
  </si>
  <si>
    <t>ОАО "РЖД" (Октябрьская дирекция по энергообеспечению – СП "Трансэнерго" - филиала ОАО "РЖД")</t>
  </si>
  <si>
    <t>783845004</t>
  </si>
  <si>
    <t>ОАО "Санкт-Петербургские электрические сети"</t>
  </si>
  <si>
    <t>7826074344</t>
  </si>
  <si>
    <t>ООО "Ижорская энергетическая компания"</t>
  </si>
  <si>
    <t>7817302964</t>
  </si>
  <si>
    <t>ООО "Производственное объединение "Пекар"</t>
  </si>
  <si>
    <t>7801374265</t>
  </si>
  <si>
    <t>ООО "РосЭнергоСеть"</t>
  </si>
  <si>
    <t>7802742264</t>
  </si>
  <si>
    <t>780201001</t>
  </si>
  <si>
    <t>ООО "Сетевое предприятие "Росэнерго"</t>
  </si>
  <si>
    <t>7802456200</t>
  </si>
  <si>
    <t>ООО "Славянская энергосетевая компания"</t>
  </si>
  <si>
    <t>7838359464</t>
  </si>
  <si>
    <t>СПб ГУП "Ленсвет"</t>
  </si>
  <si>
    <t>7830000137</t>
  </si>
  <si>
    <t>783801001</t>
  </si>
  <si>
    <t>СПб ГУП "Петербургский метрополитен"</t>
  </si>
  <si>
    <t>7830000970</t>
  </si>
  <si>
    <t>ООО "Дизаж М"</t>
  </si>
  <si>
    <t>ООО "РУСЭНЕРГОСБЫТ"</t>
  </si>
  <si>
    <t>ЗАО "Лентеплоснаб"</t>
  </si>
  <si>
    <t>7816127357</t>
  </si>
  <si>
    <t>ООО "ЭСК "Энергосервис"</t>
  </si>
  <si>
    <t>ООО "Энергосбытовая компания "ЭНЕРГОСБЕРЕЖЕНИЕ"</t>
  </si>
  <si>
    <t>ОАО "Оборонэнергосбыт"</t>
  </si>
  <si>
    <t>ООО "РТ-Энерготрейдинг"</t>
  </si>
  <si>
    <t>ОАО "ФСК ЕЭС"</t>
  </si>
  <si>
    <t>4716016979</t>
  </si>
  <si>
    <t>997450001</t>
  </si>
  <si>
    <t>Баланс мощность</t>
  </si>
  <si>
    <t>Баланс ЭЭ</t>
  </si>
  <si>
    <t xml:space="preserve">Показатели       </t>
  </si>
  <si>
    <t>Всего</t>
  </si>
  <si>
    <t>ВН</t>
  </si>
  <si>
    <t>СН I</t>
  </si>
  <si>
    <t>СН II</t>
  </si>
  <si>
    <t>НН</t>
  </si>
  <si>
    <t>Список сбытов</t>
  </si>
  <si>
    <t>ID поставщиков</t>
  </si>
  <si>
    <t>ID сбытов</t>
  </si>
  <si>
    <t>из смежной сети, всего:</t>
  </si>
  <si>
    <t xml:space="preserve">    в том числе из сети</t>
  </si>
  <si>
    <t>1.2.</t>
  </si>
  <si>
    <t>-</t>
  </si>
  <si>
    <t>МВт</t>
  </si>
  <si>
    <t>ЧЧИ</t>
  </si>
  <si>
    <t>Баланс электрической энергии и мощности организации, оказывающей услуги по передаче электрической энергии</t>
  </si>
  <si>
    <t>EE.NET.BAL.4.178</t>
  </si>
  <si>
    <t>Поступление электрической энергии в сеть, всего:</t>
  </si>
  <si>
    <t>в т.ч. сальдированный переток электрической энергии потребителям:</t>
  </si>
  <si>
    <t>MВт∙ч</t>
  </si>
  <si>
    <t>1.1.1.</t>
  </si>
  <si>
    <t>1.1.2.</t>
  </si>
  <si>
    <t>1.1.3.</t>
  </si>
  <si>
    <t>поступление электрической энергии от:</t>
  </si>
  <si>
    <r>
      <t>Потери электрической энергии в сети, всего</t>
    </r>
    <r>
      <rPr>
        <sz val="9"/>
        <rFont val="Tahoma"/>
        <family val="2"/>
      </rPr>
      <t>, в т.ч. потери:</t>
    </r>
  </si>
  <si>
    <t xml:space="preserve">то же в % к отпуску электрической энергии в сеть </t>
  </si>
  <si>
    <t>Потери на производственные и хозяйственные нужды</t>
  </si>
  <si>
    <t>Потери, отнесенные на сальдированный переток электрической энергии потребителям</t>
  </si>
  <si>
    <t>2.1.</t>
  </si>
  <si>
    <t>2.2.</t>
  </si>
  <si>
    <t>Расход электрической энергии на производственные и хозяйственные нужды:</t>
  </si>
  <si>
    <t>в т.ч. присоединенных к ФСК</t>
  </si>
  <si>
    <t>Полезный отпуск электрической энергии из сети, всего</t>
  </si>
  <si>
    <t>Полезный отпуск электрической энергии потребителям, всего</t>
  </si>
  <si>
    <t>в т.ч. сальдо-переток в другие организации:</t>
  </si>
  <si>
    <t>Поступление электрической мощности в сеть, всего:</t>
  </si>
  <si>
    <t>поступление электрической мощности от:</t>
  </si>
  <si>
    <t>в том числе из сети</t>
  </si>
  <si>
    <r>
      <t>Потери электрической мощности в сети, всего,</t>
    </r>
    <r>
      <rPr>
        <sz val="9"/>
        <rFont val="Tahoma"/>
        <family val="2"/>
      </rPr>
      <t xml:space="preserve"> в т.ч.:</t>
    </r>
  </si>
  <si>
    <t xml:space="preserve">то же в % к отпуску электрической мощности в сеть </t>
  </si>
  <si>
    <t>Потери, отнесенные на сальдированный переток электрической мощности потребителям</t>
  </si>
  <si>
    <t>Полезный отпуск электрической мощности из сети, всего</t>
  </si>
  <si>
    <t>Расход электрической мощности на производственные и хозяйственные нужды:</t>
  </si>
  <si>
    <t xml:space="preserve">Полезный отпуск электрической мощности потребителям, всего </t>
  </si>
  <si>
    <t>3.2.1.</t>
  </si>
  <si>
    <t>в т.ч. потребителям:</t>
  </si>
  <si>
    <t>4.</t>
  </si>
  <si>
    <t>Присоединенная мощность потребителей</t>
  </si>
  <si>
    <t>Прочие поставщики</t>
  </si>
  <si>
    <t>Присоединение к сетям ФСК</t>
  </si>
  <si>
    <t>Признаки</t>
  </si>
  <si>
    <t>ENB.TOT</t>
  </si>
  <si>
    <t>ENB.VN</t>
  </si>
  <si>
    <t>ENB.SN1</t>
  </si>
  <si>
    <t>ENB.SN2</t>
  </si>
  <si>
    <t>ENB.NN</t>
  </si>
  <si>
    <t>СН-1</t>
  </si>
  <si>
    <t>СН-2</t>
  </si>
  <si>
    <t>Поступление электрической энергии в сеть, всего</t>
  </si>
  <si>
    <t>Поступление электрической энергии в сеть, из смежной сети, всего</t>
  </si>
  <si>
    <t>Поступление электрической энергии в сеть, из смежной сети, в том числе из сети</t>
  </si>
  <si>
    <t>Поступление электрической энергии в сеть, всего поступление электрической энергии от:</t>
  </si>
  <si>
    <t>Потери электрической энергии в сети, всего, в т.ч. потери:</t>
  </si>
  <si>
    <t xml:space="preserve">Потери электрической энергии в сети, всего, в т.ч. потери, то же в % к отпуску электрической энергии в сеть </t>
  </si>
  <si>
    <t>Расход электрической энергии на производственные и хозяйственные нужды</t>
  </si>
  <si>
    <t>Полезный отпуск электрической энергии потребителям, всего в т.ч. потребителям:</t>
  </si>
  <si>
    <t>Полезный отпуск электрической энергии потребителям, всего в т.ч. сальдо-переток в другие организации:</t>
  </si>
  <si>
    <t>Поступление электрической мощности в сеть, всего в т.ч. сальдированный переток электрической мощности потребителям:</t>
  </si>
  <si>
    <t>Поступление электрической мощности в сеть, из смежной сети, всего:</t>
  </si>
  <si>
    <t>Поступление электрической мощности в сеть, из смежной сети, в том числе из сети</t>
  </si>
  <si>
    <t>Потери электрической мощности в сети, всего, в т.ч.:</t>
  </si>
  <si>
    <t xml:space="preserve">Потери электрической мощности в сети, всего, то же в % к отпуску электрической мощности в сеть </t>
  </si>
  <si>
    <t>Полезный отпуск электрической мощности потребителям, всего в т.ч. потребителям:</t>
  </si>
  <si>
    <t>Полезный отпуск электрической мощности потребителям, всего в т.ч. Потребителям в т.ч. присоединенных к ФСК</t>
  </si>
  <si>
    <t>Полезный отпуск электрической мощности из сети, всего в т.ч. сальдо-переток в другие организации:</t>
  </si>
  <si>
    <t>Присоединенная мощность потребителей в т.ч. присоединенных к ФСК</t>
  </si>
  <si>
    <t>Услуги по передаче электрической энергии, Услуги по передаче тепловой энергии, Производство тепловой энергии</t>
  </si>
  <si>
    <t>785050001</t>
  </si>
  <si>
    <t>ЗАО "Энергосбытовая компания Кировского завода"</t>
  </si>
  <si>
    <t>ООО "НСК"</t>
  </si>
  <si>
    <t>ЗАО "Ижора-Энергосбыт"</t>
  </si>
  <si>
    <t>Баланс электрической энергии сетевой организации</t>
  </si>
  <si>
    <t>Баланс электрической мощности сетевой организации</t>
  </si>
  <si>
    <t>Мощность на производственные и хозяйственные нужды</t>
  </si>
  <si>
    <t>Отпуск электрической мощности из сети, всего</t>
  </si>
  <si>
    <t>1.0.</t>
  </si>
  <si>
    <t>в т.ч. сальдированный переток электрической энергии, всего:</t>
  </si>
  <si>
    <t>1.0.1.</t>
  </si>
  <si>
    <t>1.0.2.</t>
  </si>
  <si>
    <t>в т.ч. сальдированный переток электрической энергии в другие организации:</t>
  </si>
  <si>
    <t>2.2.1.</t>
  </si>
  <si>
    <t>в т.ч. потери, отнесенные на сальдированный переток электрической энергии потребителям:</t>
  </si>
  <si>
    <t>то же в %</t>
  </si>
  <si>
    <t>2.2.2.</t>
  </si>
  <si>
    <t>в т.ч. потери, отнесенные на сальдированный переток электрической энергии в другие организации:</t>
  </si>
  <si>
    <t>3.2.2.</t>
  </si>
  <si>
    <t>в т.ч. потери, отнесенные на сальдированный переток электрической энергии в другие организации,  %:</t>
  </si>
  <si>
    <t>в т.ч. потери, отнесенные на сальдированный переток электрической энергии потребителямб%:</t>
  </si>
  <si>
    <t>Полезный отпуск электрической энергии потребителям, всего в т.ч. Потребителям, присоединенным к ФСК:</t>
  </si>
  <si>
    <t>в т.ч. потери, отнесенные на сальдированный переток электрической энергии потребителям,%:</t>
  </si>
  <si>
    <t>в т.ч. потери, отнесенные на сальдированный переток электрической энергии в другие организации, %:</t>
  </si>
  <si>
    <t>ООО "Инженерные изыскания"</t>
  </si>
  <si>
    <t>ОАО «Московское городское энергосбытовое предприятие»</t>
  </si>
  <si>
    <t>Версия 1.0</t>
  </si>
  <si>
    <t>Да</t>
  </si>
  <si>
    <t>Эмдин Сергей Владимирович</t>
  </si>
  <si>
    <t>Удалить</t>
  </si>
  <si>
    <t>(812) 324-35-08</t>
  </si>
  <si>
    <t>Пулковское шоссе, д. 41, литер ЗИ, Санкт-Петербург, Россия, 196140</t>
  </si>
  <si>
    <t>Аналитик отдела планирования и контроля</t>
  </si>
  <si>
    <t>Генеральный директор</t>
  </si>
  <si>
    <t>196210, г. Санкт-Петербург, а/я 74</t>
  </si>
  <si>
    <t>Услуги по холодному водоснабжению, 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t>
  </si>
  <si>
    <t>781401001</t>
  </si>
  <si>
    <t>Услуги по очистке сточных вод, Производство тепловой энергии, Услуги по холодному водоснабжению, Реализация теплоносителя, Услуги по передаче тепловой энергии, Услуги по передаче электрической энергии, Услуги по водоотведению</t>
  </si>
  <si>
    <t>Реализация теплоносителя, Услуги по передаче тепловой энергии, Услуги по горячему водоснабжению, Производство тепловой энергии, Услуги по водоотведению, Услуги по очистке сточных вод, Услуги по передаче электрической энергии, Услуги по холодному водоснабжению</t>
  </si>
  <si>
    <t>Услуги по передаче электрической энергии, Услуги по передаче тепловой энергии, Производство тепловой энергии, Услуги по холодному водоснабжению, Услуги по водоотведению, Реализация теплоносителя, Речной порт, Услуги по очистке сточных вод</t>
  </si>
  <si>
    <t>ОАО "Особые Экономические Зоны"</t>
  </si>
  <si>
    <t>7703591134</t>
  </si>
  <si>
    <t>781943001</t>
  </si>
  <si>
    <t>Услуги по водоотведению, Услуги по передаче электрической энергии, Производство тепловой энергии, Услуги по холодному водоснабжению, Услуги по очистке сточных вод, Услуги по передаче тепловой энергии</t>
  </si>
  <si>
    <t>Производство тепловой энергии, Аэропорт, Реализация теплоносителя, Услуги по передаче электрической энергии, Услуги по холодному водоснабжению, Услуги по водоотведению, Услуги по передаче тепловой энергии, Услуги по очистке сточных вод</t>
  </si>
  <si>
    <t>ООО "Госэнергосеть"</t>
  </si>
  <si>
    <t>7804511368</t>
  </si>
  <si>
    <t>780401001</t>
  </si>
  <si>
    <t>ООО "Северо-Западная сетевая компания"</t>
  </si>
  <si>
    <t>7839472279</t>
  </si>
  <si>
    <t>783901001</t>
  </si>
  <si>
    <t>780601001</t>
  </si>
  <si>
    <t>Услуги по передаче электрической энергии, Услуги по передаче тепловой энергии, Услуги по водоотведению, Услуги по холодному водоснабжению, Услуги по очистке сточных вод, Производство тепловой энергии</t>
  </si>
  <si>
    <t>ФКП "Дирекция КЗС Минрегиона России"</t>
  </si>
  <si>
    <t>7814148129</t>
  </si>
  <si>
    <t xml:space="preserve"> Реестр организаций обновлен:24.10.2014 9:35:12</t>
  </si>
  <si>
    <t>ЗАО "ЭНЕРГИЯ ХОЛДИНГ"</t>
  </si>
  <si>
    <t>ООО "Пивоваренная компания "Балтика"</t>
  </si>
  <si>
    <t>ООО "РАЗВИТИЕ И ИНВЕСТИЦИИ"</t>
  </si>
  <si>
    <t>ООО "РН-Энерго"</t>
  </si>
  <si>
    <t>ООО "Сбытовая энергетическая компания"</t>
  </si>
  <si>
    <t>ООО "Трансэнергопром"</t>
  </si>
  <si>
    <t>ООО "ЭСК "ЭСКО"</t>
  </si>
  <si>
    <t>Лобашова Елизавета Геннадьевна</t>
  </si>
  <si>
    <t>E.Lobashova@pulkovo-airport.com</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</si>
</sst>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lt;=9999999]###\-####;\(###&quot;) &quot;###\-####"/>
    <numFmt numFmtId="176" formatCode="_-* #,##0.00\ _р_._-;\-* #,##0.00\ _р_._-;_-* &quot;-&quot;??\ _р_._-;_-@_-"/>
    <numFmt numFmtId="177" formatCode="#,##0.000_ ;\-#,##0.000\ "/>
    <numFmt numFmtId="178" formatCode="0.0000"/>
    <numFmt numFmtId="179" formatCode="#,##0.0000"/>
  </numFmts>
  <fonts count="7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u val="single"/>
      <sz val="10"/>
      <color indexed="12"/>
      <name val="Arial Cyr"/>
      <family val="0"/>
    </font>
    <font>
      <u val="single"/>
      <sz val="9"/>
      <color indexed="12"/>
      <name val="Tahoma"/>
      <family val="2"/>
    </font>
    <font>
      <sz val="11"/>
      <color indexed="8"/>
      <name val="Calibri"/>
      <family val="2"/>
    </font>
    <font>
      <b/>
      <sz val="9"/>
      <color indexed="8"/>
      <name val="Tahoma"/>
      <family val="2"/>
    </font>
    <font>
      <b/>
      <sz val="12"/>
      <color indexed="8"/>
      <name val="Tahom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b/>
      <sz val="9"/>
      <color indexed="23"/>
      <name val="Tahoma"/>
      <family val="2"/>
    </font>
    <font>
      <sz val="10"/>
      <color indexed="8"/>
      <name val="Verdana"/>
      <family val="2"/>
    </font>
    <font>
      <sz val="10"/>
      <color indexed="8"/>
      <name val="Tahoma"/>
      <family val="2"/>
    </font>
    <font>
      <b/>
      <sz val="9"/>
      <color indexed="12"/>
      <name val="Tahoma"/>
      <family val="2"/>
    </font>
    <font>
      <b/>
      <sz val="10"/>
      <color indexed="8"/>
      <name val="Tahoma"/>
      <family val="2"/>
    </font>
    <font>
      <sz val="8"/>
      <color indexed="8"/>
      <name val="Tahoma"/>
      <family val="2"/>
    </font>
    <font>
      <i/>
      <sz val="9"/>
      <color indexed="56"/>
      <name val="Tahoma"/>
      <family val="2"/>
    </font>
    <font>
      <i/>
      <sz val="9"/>
      <color indexed="9"/>
      <name val="Tahoma"/>
      <family val="2"/>
    </font>
    <font>
      <b/>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9"/>
      <color theme="10"/>
      <name val="Tahoma"/>
      <family val="2"/>
    </font>
    <font>
      <b/>
      <sz val="10"/>
      <color theme="1"/>
      <name val="Tahoma"/>
      <family val="2"/>
    </font>
    <font>
      <sz val="8"/>
      <color theme="1"/>
      <name val="Tahoma"/>
      <family val="2"/>
    </font>
    <font>
      <i/>
      <sz val="9"/>
      <color theme="3"/>
      <name val="Tahoma"/>
      <family val="2"/>
    </font>
    <font>
      <i/>
      <sz val="9"/>
      <color theme="0"/>
      <name val="Tahoma"/>
      <family val="2"/>
    </font>
    <font>
      <b/>
      <sz val="8"/>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lightGray">
        <fgColor indexed="22"/>
        <bgColor indexed="9"/>
      </patternFill>
    </fill>
    <fill>
      <patternFill patternType="solid">
        <fgColor rgb="FF92D050"/>
        <bgColor indexed="64"/>
      </patternFill>
    </fill>
    <fill>
      <patternFill patternType="solid">
        <fgColor indexed="41"/>
        <bgColor indexed="64"/>
      </patternFill>
    </fill>
    <fill>
      <patternFill patternType="solid">
        <fgColor indexed="4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color indexed="63"/>
      </left>
      <right style="thin"/>
      <top style="thin"/>
      <bottom style="thin"/>
    </border>
    <border>
      <left style="medium"/>
      <right>
        <color indexed="63"/>
      </right>
      <top style="thin"/>
      <bottom style="thin"/>
    </border>
    <border>
      <left style="medium"/>
      <right style="thin">
        <color indexed="63"/>
      </right>
      <top style="medium"/>
      <bottom style="medium"/>
    </border>
    <border>
      <left style="thin">
        <color indexed="63"/>
      </left>
      <right style="thin">
        <color indexed="63"/>
      </right>
      <top style="medium"/>
      <bottom style="medium"/>
    </border>
    <border>
      <left style="thin">
        <color indexed="63"/>
      </left>
      <right style="medium"/>
      <top style="medium"/>
      <bottom style="medium"/>
    </border>
    <border>
      <left style="thin"/>
      <right style="medium"/>
      <top style="thin"/>
      <bottom style="thin"/>
    </border>
    <border>
      <left style="medium"/>
      <right style="thin"/>
      <top style="medium"/>
      <bottom style="thin"/>
    </border>
    <border>
      <left>
        <color indexed="63"/>
      </left>
      <right style="thin"/>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color indexed="63"/>
      </left>
      <right>
        <color indexed="63"/>
      </right>
      <top style="medium"/>
      <bottom style="thin">
        <color theme="1" tint="0.49998000264167786"/>
      </bottom>
    </border>
    <border>
      <left style="dashed"/>
      <right>
        <color indexed="63"/>
      </right>
      <top style="thin"/>
      <bottom style="medium">
        <color indexed="63"/>
      </bottom>
    </border>
    <border>
      <left>
        <color indexed="63"/>
      </left>
      <right style="medium">
        <color indexed="63"/>
      </right>
      <top style="thin"/>
      <bottom style="medium">
        <color indexed="63"/>
      </bottom>
    </border>
    <border>
      <left style="dashed"/>
      <right>
        <color indexed="63"/>
      </right>
      <top style="thin"/>
      <bottom style="thin"/>
    </border>
    <border>
      <left>
        <color indexed="63"/>
      </left>
      <right style="medium">
        <color indexed="63"/>
      </right>
      <top style="thin"/>
      <bottom style="thin"/>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4" fontId="5" fillId="28" borderId="6" applyBorder="0">
      <alignment horizontal="right"/>
      <protection/>
    </xf>
    <xf numFmtId="0" fontId="50" fillId="0" borderId="7" applyNumberFormat="0" applyFill="0" applyAlignment="0" applyProtection="0"/>
    <xf numFmtId="0" fontId="51" fillId="29" borderId="8"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0" fontId="11" fillId="0" borderId="0">
      <alignment/>
      <protection/>
    </xf>
    <xf numFmtId="0" fontId="54" fillId="0" borderId="0">
      <alignment/>
      <protection/>
    </xf>
    <xf numFmtId="0" fontId="14" fillId="0" borderId="0">
      <alignment/>
      <protection/>
    </xf>
    <xf numFmtId="0" fontId="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4" fontId="5" fillId="33" borderId="0" applyFont="0" applyBorder="0">
      <alignment horizontal="right"/>
      <protection/>
    </xf>
    <xf numFmtId="0" fontId="60" fillId="34" borderId="0" applyNumberFormat="0" applyBorder="0" applyAlignment="0" applyProtection="0"/>
  </cellStyleXfs>
  <cellXfs count="298">
    <xf numFmtId="0" fontId="0" fillId="0" borderId="0" xfId="0" applyAlignment="1">
      <alignment/>
    </xf>
    <xf numFmtId="0" fontId="0" fillId="0" borderId="0" xfId="0" applyFont="1" applyAlignment="1">
      <alignment/>
    </xf>
    <xf numFmtId="0" fontId="61" fillId="0" borderId="0" xfId="62" applyFont="1" applyFill="1" applyAlignment="1" applyProtection="1">
      <alignment horizontal="left" vertical="center" wrapText="1"/>
      <protection/>
    </xf>
    <xf numFmtId="0" fontId="61" fillId="0" borderId="0" xfId="62" applyFont="1" applyAlignment="1" applyProtection="1">
      <alignment vertical="center" wrapText="1"/>
      <protection/>
    </xf>
    <xf numFmtId="0" fontId="61" fillId="0" borderId="0" xfId="62" applyFont="1" applyFill="1" applyAlignment="1" applyProtection="1">
      <alignment vertical="center" wrapText="1"/>
      <protection/>
    </xf>
    <xf numFmtId="0" fontId="62" fillId="0" borderId="0" xfId="66" applyFont="1" applyFill="1" applyBorder="1" applyAlignment="1" applyProtection="1">
      <alignment horizontal="right" vertical="center" wrapText="1"/>
      <protection/>
    </xf>
    <xf numFmtId="0" fontId="61" fillId="35" borderId="0" xfId="62" applyFont="1" applyFill="1" applyBorder="1" applyAlignment="1" applyProtection="1">
      <alignment vertical="center" wrapText="1"/>
      <protection/>
    </xf>
    <xf numFmtId="0" fontId="61" fillId="0" borderId="0" xfId="62" applyFont="1" applyBorder="1" applyAlignment="1" applyProtection="1">
      <alignment vertical="center" wrapText="1"/>
      <protection/>
    </xf>
    <xf numFmtId="0" fontId="61" fillId="35" borderId="0" xfId="66" applyFont="1" applyFill="1" applyBorder="1" applyAlignment="1" applyProtection="1">
      <alignment vertical="center" wrapText="1"/>
      <protection/>
    </xf>
    <xf numFmtId="0" fontId="62" fillId="35" borderId="0" xfId="66" applyFont="1" applyFill="1" applyBorder="1" applyAlignment="1" applyProtection="1">
      <alignment vertical="center" wrapText="1"/>
      <protection/>
    </xf>
    <xf numFmtId="0" fontId="3" fillId="0" borderId="0" xfId="62" applyFont="1" applyAlignment="1" applyProtection="1">
      <alignment vertical="center" wrapText="1"/>
      <protection/>
    </xf>
    <xf numFmtId="0" fontId="5" fillId="0" borderId="0" xfId="66" applyFont="1" applyFill="1" applyBorder="1" applyAlignment="1" applyProtection="1">
      <alignment vertical="center" wrapText="1"/>
      <protection/>
    </xf>
    <xf numFmtId="0" fontId="5" fillId="0" borderId="0" xfId="62" applyFont="1" applyAlignment="1" applyProtection="1">
      <alignment vertical="center" wrapText="1"/>
      <protection/>
    </xf>
    <xf numFmtId="0" fontId="3" fillId="36" borderId="0" xfId="62" applyFont="1" applyFill="1" applyAlignment="1" applyProtection="1">
      <alignment vertical="center" wrapText="1"/>
      <protection/>
    </xf>
    <xf numFmtId="0" fontId="6" fillId="36" borderId="0" xfId="66" applyFont="1" applyFill="1" applyBorder="1" applyAlignment="1" applyProtection="1">
      <alignment horizontal="center" vertical="center" wrapText="1"/>
      <protection/>
    </xf>
    <xf numFmtId="0" fontId="5" fillId="36" borderId="0" xfId="66" applyFont="1" applyFill="1" applyBorder="1" applyAlignment="1" applyProtection="1">
      <alignment vertical="center" wrapText="1"/>
      <protection/>
    </xf>
    <xf numFmtId="0" fontId="5" fillId="36" borderId="0" xfId="62" applyFont="1" applyFill="1" applyAlignment="1" applyProtection="1">
      <alignment vertical="center" wrapText="1"/>
      <protection/>
    </xf>
    <xf numFmtId="0" fontId="5" fillId="35" borderId="0" xfId="66" applyFont="1" applyFill="1" applyBorder="1" applyAlignment="1" applyProtection="1">
      <alignment horizontal="center" vertical="center" wrapText="1"/>
      <protection/>
    </xf>
    <xf numFmtId="0" fontId="6" fillId="35" borderId="0" xfId="66" applyFont="1" applyFill="1" applyBorder="1" applyAlignment="1" applyProtection="1">
      <alignment vertical="center" wrapText="1"/>
      <protection/>
    </xf>
    <xf numFmtId="0" fontId="5" fillId="35" borderId="11" xfId="66" applyFont="1" applyFill="1" applyBorder="1" applyAlignment="1" applyProtection="1">
      <alignment vertical="center" wrapText="1"/>
      <protection/>
    </xf>
    <xf numFmtId="49" fontId="6" fillId="35" borderId="0" xfId="67" applyNumberFormat="1" applyFont="1" applyFill="1" applyBorder="1" applyAlignment="1" applyProtection="1">
      <alignment horizontal="center" vertical="center" wrapText="1"/>
      <protection/>
    </xf>
    <xf numFmtId="14" fontId="5" fillId="35" borderId="0" xfId="67" applyNumberFormat="1" applyFont="1" applyFill="1" applyBorder="1" applyAlignment="1" applyProtection="1">
      <alignment horizontal="center" vertical="center" wrapText="1"/>
      <protection/>
    </xf>
    <xf numFmtId="0" fontId="5" fillId="0" borderId="0" xfId="62" applyFont="1" applyFill="1" applyBorder="1" applyAlignment="1" applyProtection="1">
      <alignment vertical="center" wrapText="1"/>
      <protection/>
    </xf>
    <xf numFmtId="49" fontId="3" fillId="0" borderId="0" xfId="58" applyNumberFormat="1" applyFont="1" applyAlignment="1" applyProtection="1">
      <alignment horizontal="center" vertical="center" wrapText="1"/>
      <protection/>
    </xf>
    <xf numFmtId="0" fontId="6" fillId="35" borderId="0" xfId="67" applyNumberFormat="1" applyFont="1" applyFill="1" applyBorder="1" applyAlignment="1" applyProtection="1">
      <alignment horizontal="center" vertical="center" wrapText="1"/>
      <protection/>
    </xf>
    <xf numFmtId="0" fontId="5" fillId="35" borderId="0" xfId="66" applyNumberFormat="1" applyFont="1" applyFill="1" applyBorder="1" applyAlignment="1" applyProtection="1">
      <alignment vertical="center" wrapText="1"/>
      <protection/>
    </xf>
    <xf numFmtId="49" fontId="63" fillId="0" borderId="0" xfId="58" applyNumberFormat="1" applyFont="1" applyAlignment="1" applyProtection="1">
      <alignment vertical="top"/>
      <protection/>
    </xf>
    <xf numFmtId="0" fontId="5" fillId="0" borderId="0" xfId="66" applyFont="1" applyFill="1" applyBorder="1" applyAlignment="1" applyProtection="1">
      <alignment horizontal="center" vertical="center" wrapText="1"/>
      <protection/>
    </xf>
    <xf numFmtId="49" fontId="5" fillId="0" borderId="0" xfId="67" applyNumberFormat="1" applyFont="1" applyFill="1" applyBorder="1" applyAlignment="1" applyProtection="1">
      <alignment horizontal="center" vertical="center" wrapText="1"/>
      <protection/>
    </xf>
    <xf numFmtId="0" fontId="5" fillId="0" borderId="0" xfId="62" applyFont="1" applyFill="1" applyAlignment="1" applyProtection="1">
      <alignment horizontal="center" vertical="center" wrapText="1"/>
      <protection/>
    </xf>
    <xf numFmtId="0" fontId="5" fillId="0" borderId="0" xfId="62" applyFont="1" applyFill="1" applyAlignment="1" applyProtection="1">
      <alignment vertical="center" wrapText="1"/>
      <protection/>
    </xf>
    <xf numFmtId="0" fontId="5" fillId="0" borderId="0" xfId="62" applyFont="1" applyAlignment="1" applyProtection="1">
      <alignment horizontal="center" vertical="center" wrapText="1"/>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49" fontId="5" fillId="0" borderId="0" xfId="63" applyNumberFormat="1" applyFont="1" applyProtection="1">
      <alignment vertical="top"/>
      <protection/>
    </xf>
    <xf numFmtId="0" fontId="9" fillId="0" borderId="0" xfId="68" applyFont="1" applyBorder="1" applyAlignment="1" applyProtection="1">
      <alignment horizontal="center" vertical="center" wrapText="1"/>
      <protection/>
    </xf>
    <xf numFmtId="0" fontId="0" fillId="11" borderId="0" xfId="0" applyFont="1" applyFill="1" applyAlignment="1">
      <alignment/>
    </xf>
    <xf numFmtId="0" fontId="0" fillId="11" borderId="0" xfId="0" applyFill="1" applyAlignment="1">
      <alignment/>
    </xf>
    <xf numFmtId="0" fontId="5" fillId="0" borderId="0" xfId="62"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1" fillId="2" borderId="0" xfId="62" applyNumberFormat="1" applyFont="1" applyFill="1" applyAlignment="1" applyProtection="1">
      <alignment vertical="center" wrapText="1"/>
      <protection/>
    </xf>
    <xf numFmtId="0" fontId="61" fillId="2" borderId="0" xfId="62" applyFont="1" applyFill="1" applyAlignment="1" applyProtection="1">
      <alignment horizontal="left" vertical="center" wrapText="1"/>
      <protection/>
    </xf>
    <xf numFmtId="0" fontId="61" fillId="2" borderId="0" xfId="62" applyFont="1" applyFill="1" applyAlignment="1" applyProtection="1">
      <alignment vertical="center" wrapText="1"/>
      <protection/>
    </xf>
    <xf numFmtId="0" fontId="61" fillId="2" borderId="0" xfId="62" applyFont="1" applyFill="1" applyBorder="1" applyAlignment="1" applyProtection="1">
      <alignment vertical="center" wrapText="1"/>
      <protection/>
    </xf>
    <xf numFmtId="49" fontId="61" fillId="2" borderId="0" xfId="67" applyNumberFormat="1" applyFont="1" applyFill="1" applyBorder="1" applyAlignment="1" applyProtection="1">
      <alignment horizontal="left" vertical="center" wrapText="1"/>
      <protection/>
    </xf>
    <xf numFmtId="0" fontId="61" fillId="2" borderId="0" xfId="62" applyFont="1" applyFill="1" applyAlignment="1" applyProtection="1">
      <alignment horizontal="center" vertical="center" wrapText="1"/>
      <protection/>
    </xf>
    <xf numFmtId="0" fontId="6" fillId="37" borderId="11" xfId="67" applyNumberFormat="1" applyFont="1" applyFill="1" applyBorder="1" applyAlignment="1" applyProtection="1">
      <alignment horizontal="center" vertical="center" wrapText="1"/>
      <protection/>
    </xf>
    <xf numFmtId="0" fontId="6" fillId="37" borderId="11" xfId="66" applyFont="1" applyFill="1" applyBorder="1" applyAlignment="1" applyProtection="1">
      <alignment horizontal="center" vertical="center" wrapText="1"/>
      <protection/>
    </xf>
    <xf numFmtId="0" fontId="5" fillId="37" borderId="11" xfId="66" applyFont="1" applyFill="1" applyBorder="1" applyAlignment="1" applyProtection="1">
      <alignment horizontal="right" vertical="center" wrapText="1" indent="1"/>
      <protection/>
    </xf>
    <xf numFmtId="49" fontId="5" fillId="37" borderId="11" xfId="67"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4" fillId="0" borderId="0" xfId="68" applyFont="1" applyBorder="1" applyAlignment="1" applyProtection="1">
      <alignment horizontal="center" vertical="center" wrapText="1"/>
      <protection/>
    </xf>
    <xf numFmtId="0" fontId="50" fillId="0" borderId="20" xfId="0" applyFont="1" applyBorder="1" applyAlignment="1">
      <alignment horizontal="center"/>
    </xf>
    <xf numFmtId="0" fontId="50" fillId="0" borderId="21" xfId="0" applyFont="1" applyBorder="1" applyAlignment="1">
      <alignment horizontal="center"/>
    </xf>
    <xf numFmtId="0" fontId="50" fillId="0" borderId="22" xfId="0" applyFont="1" applyBorder="1" applyAlignment="1">
      <alignment horizontal="center"/>
    </xf>
    <xf numFmtId="0" fontId="5" fillId="0" borderId="6" xfId="68" applyFont="1" applyBorder="1" applyAlignment="1" applyProtection="1">
      <alignment horizontal="center" vertical="center" wrapText="1"/>
      <protection/>
    </xf>
    <xf numFmtId="0" fontId="5" fillId="0" borderId="6" xfId="68" applyFont="1" applyBorder="1" applyAlignment="1" applyProtection="1">
      <alignment horizontal="left" wrapText="1"/>
      <protection/>
    </xf>
    <xf numFmtId="0" fontId="46" fillId="0" borderId="6" xfId="42" applyBorder="1" applyAlignment="1" applyProtection="1">
      <alignment horizontal="center" vertical="center" wrapText="1"/>
      <protection/>
    </xf>
    <xf numFmtId="0" fontId="0" fillId="0" borderId="0" xfId="0" applyAlignment="1">
      <alignment horizontal="left"/>
    </xf>
    <xf numFmtId="0" fontId="0" fillId="0" borderId="0" xfId="0" applyFont="1" applyAlignment="1">
      <alignment horizontal="left"/>
    </xf>
    <xf numFmtId="0" fontId="63" fillId="0" borderId="0" xfId="58" applyNumberFormat="1" applyFont="1" applyAlignment="1" applyProtection="1">
      <alignment vertical="top"/>
      <protection/>
    </xf>
    <xf numFmtId="14" fontId="5" fillId="0" borderId="0" xfId="66" applyNumberFormat="1" applyFont="1" applyFill="1" applyBorder="1" applyAlignment="1" applyProtection="1">
      <alignment vertical="center" wrapText="1"/>
      <protection/>
    </xf>
    <xf numFmtId="0" fontId="65" fillId="0" borderId="0" xfId="0" applyFont="1" applyAlignment="1">
      <alignment/>
    </xf>
    <xf numFmtId="0" fontId="46" fillId="0" borderId="0" xfId="42" applyAlignment="1" applyProtection="1">
      <alignment/>
      <protection/>
    </xf>
    <xf numFmtId="0" fontId="0" fillId="0" borderId="0" xfId="0" applyAlignment="1">
      <alignment horizontal="right"/>
    </xf>
    <xf numFmtId="0" fontId="5" fillId="35" borderId="23" xfId="66" applyFont="1" applyFill="1" applyBorder="1" applyAlignment="1" applyProtection="1">
      <alignment vertical="center" wrapText="1"/>
      <protection/>
    </xf>
    <xf numFmtId="0" fontId="5" fillId="35" borderId="24" xfId="66" applyFont="1" applyFill="1" applyBorder="1" applyAlignment="1" applyProtection="1">
      <alignment vertical="center" wrapText="1"/>
      <protection/>
    </xf>
    <xf numFmtId="0" fontId="5" fillId="35" borderId="24" xfId="66" applyFont="1" applyFill="1" applyBorder="1" applyAlignment="1" applyProtection="1">
      <alignment horizontal="center" vertical="center" wrapText="1"/>
      <protection/>
    </xf>
    <xf numFmtId="0" fontId="6" fillId="35" borderId="25" xfId="66" applyFont="1" applyFill="1" applyBorder="1" applyAlignment="1" applyProtection="1">
      <alignment vertical="center" wrapText="1"/>
      <protection/>
    </xf>
    <xf numFmtId="0" fontId="5" fillId="35" borderId="26" xfId="66" applyFont="1" applyFill="1" applyBorder="1" applyAlignment="1" applyProtection="1">
      <alignment vertical="center" wrapText="1"/>
      <protection/>
    </xf>
    <xf numFmtId="0" fontId="6" fillId="35" borderId="27" xfId="66" applyFont="1" applyFill="1" applyBorder="1" applyAlignment="1" applyProtection="1">
      <alignment vertical="center" wrapText="1"/>
      <protection/>
    </xf>
    <xf numFmtId="0" fontId="8" fillId="35" borderId="26" xfId="67" applyNumberFormat="1" applyFont="1" applyFill="1" applyBorder="1" applyAlignment="1" applyProtection="1">
      <alignment horizontal="center" vertical="center" wrapText="1"/>
      <protection/>
    </xf>
    <xf numFmtId="14" fontId="5" fillId="35" borderId="27" xfId="67" applyNumberFormat="1" applyFont="1" applyFill="1" applyBorder="1" applyAlignment="1" applyProtection="1">
      <alignment horizontal="center" vertical="center" wrapText="1"/>
      <protection/>
    </xf>
    <xf numFmtId="0" fontId="5" fillId="35" borderId="27" xfId="62" applyFont="1" applyFill="1" applyBorder="1" applyAlignment="1" applyProtection="1">
      <alignment horizontal="center" vertical="center" wrapText="1"/>
      <protection/>
    </xf>
    <xf numFmtId="0" fontId="5" fillId="35" borderId="27" xfId="66" applyFont="1" applyFill="1" applyBorder="1" applyAlignment="1" applyProtection="1">
      <alignment horizontal="center" vertical="center" wrapText="1"/>
      <protection/>
    </xf>
    <xf numFmtId="49" fontId="5" fillId="35" borderId="26" xfId="67" applyNumberFormat="1" applyFont="1" applyFill="1" applyBorder="1" applyAlignment="1" applyProtection="1">
      <alignment horizontal="center" vertical="center" wrapText="1"/>
      <protection/>
    </xf>
    <xf numFmtId="0" fontId="5" fillId="35" borderId="28" xfId="66" applyFont="1" applyFill="1" applyBorder="1" applyAlignment="1" applyProtection="1">
      <alignment vertical="center" wrapText="1"/>
      <protection/>
    </xf>
    <xf numFmtId="0" fontId="5" fillId="35" borderId="29" xfId="66" applyFont="1" applyFill="1" applyBorder="1" applyAlignment="1" applyProtection="1">
      <alignment vertical="center" wrapText="1"/>
      <protection/>
    </xf>
    <xf numFmtId="0" fontId="5" fillId="35" borderId="29" xfId="66" applyFont="1" applyFill="1" applyBorder="1" applyAlignment="1" applyProtection="1">
      <alignment horizontal="center" vertical="center" wrapText="1"/>
      <protection/>
    </xf>
    <xf numFmtId="0" fontId="5" fillId="35" borderId="30" xfId="66" applyFont="1" applyFill="1" applyBorder="1" applyAlignment="1" applyProtection="1">
      <alignment horizontal="center" vertical="center" wrapText="1"/>
      <protection/>
    </xf>
    <xf numFmtId="0" fontId="66" fillId="2" borderId="0" xfId="0" applyFont="1" applyFill="1" applyAlignment="1">
      <alignment horizontal="center" vertical="center"/>
    </xf>
    <xf numFmtId="0" fontId="66" fillId="0" borderId="0" xfId="0" applyFont="1" applyAlignment="1">
      <alignment horizontal="center" vertical="center"/>
    </xf>
    <xf numFmtId="0" fontId="0" fillId="0" borderId="0" xfId="0" applyAlignment="1">
      <alignment horizontal="right"/>
    </xf>
    <xf numFmtId="0" fontId="10" fillId="0" borderId="0" xfId="42" applyFont="1" applyAlignment="1" applyProtection="1">
      <alignment/>
      <protection/>
    </xf>
    <xf numFmtId="2" fontId="67" fillId="38" borderId="31" xfId="42" applyNumberFormat="1" applyFont="1" applyFill="1" applyBorder="1" applyAlignment="1" applyProtection="1">
      <alignment horizontal="left" vertical="center" indent="1"/>
      <protection/>
    </xf>
    <xf numFmtId="2" fontId="10" fillId="38" borderId="32" xfId="42" applyNumberFormat="1" applyFont="1" applyFill="1" applyBorder="1" applyAlignment="1" applyProtection="1">
      <alignment horizontal="center" vertical="center"/>
      <protection/>
    </xf>
    <xf numFmtId="0" fontId="0" fillId="2" borderId="0" xfId="0" applyFill="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16" xfId="0" applyBorder="1" applyAlignment="1">
      <alignment horizontal="center"/>
    </xf>
    <xf numFmtId="0" fontId="42" fillId="0" borderId="0" xfId="0" applyFont="1" applyFill="1" applyAlignment="1">
      <alignment/>
    </xf>
    <xf numFmtId="0" fontId="6" fillId="35" borderId="29" xfId="68" applyFont="1" applyFill="1" applyBorder="1" applyAlignment="1" applyProtection="1">
      <alignment horizontal="right" vertical="top" wrapText="1"/>
      <protection/>
    </xf>
    <xf numFmtId="0" fontId="5" fillId="11" borderId="0" xfId="0" applyFont="1" applyFill="1" applyAlignment="1">
      <alignment/>
    </xf>
    <xf numFmtId="0" fontId="5" fillId="11" borderId="0" xfId="0" applyFont="1" applyFill="1" applyAlignment="1">
      <alignment horizontal="left"/>
    </xf>
    <xf numFmtId="0" fontId="0" fillId="37" borderId="26" xfId="61" applyNumberFormat="1" applyFont="1" applyFill="1" applyBorder="1" applyAlignment="1" applyProtection="1">
      <alignment horizontal="left" vertical="center" wrapText="1"/>
      <protection locked="0"/>
    </xf>
    <xf numFmtId="0" fontId="5" fillId="37" borderId="0" xfId="61" applyNumberFormat="1" applyFont="1" applyFill="1" applyBorder="1" applyAlignment="1" applyProtection="1">
      <alignment horizontal="left" vertical="center" wrapText="1"/>
      <protection locked="0"/>
    </xf>
    <xf numFmtId="0" fontId="5" fillId="37" borderId="27" xfId="61" applyNumberFormat="1" applyFont="1" applyFill="1" applyBorder="1" applyAlignment="1" applyProtection="1">
      <alignment horizontal="left" vertical="center" wrapText="1"/>
      <protection locked="0"/>
    </xf>
    <xf numFmtId="0" fontId="0" fillId="0" borderId="0" xfId="0" applyAlignment="1">
      <alignment horizontal="right"/>
    </xf>
    <xf numFmtId="0" fontId="0" fillId="39" borderId="0" xfId="0" applyFont="1" applyFill="1" applyAlignment="1">
      <alignment/>
    </xf>
    <xf numFmtId="0" fontId="0" fillId="39" borderId="0" xfId="0" applyFill="1" applyAlignment="1">
      <alignment/>
    </xf>
    <xf numFmtId="0" fontId="6" fillId="0" borderId="33" xfId="57" applyFont="1" applyBorder="1" applyAlignment="1" applyProtection="1">
      <alignment horizontal="center" vertical="center" wrapText="1"/>
      <protection locked="0"/>
    </xf>
    <xf numFmtId="0" fontId="6" fillId="0" borderId="34" xfId="57" applyFont="1" applyBorder="1" applyAlignment="1" applyProtection="1">
      <alignment horizontal="center" vertical="center" wrapText="1"/>
      <protection locked="0"/>
    </xf>
    <xf numFmtId="0" fontId="6" fillId="0" borderId="35" xfId="57" applyFont="1" applyBorder="1" applyAlignment="1" applyProtection="1">
      <alignment horizontal="center" vertical="center" wrapText="1"/>
      <protection locked="0"/>
    </xf>
    <xf numFmtId="49" fontId="5" fillId="0" borderId="0" xfId="63" applyNumberFormat="1" applyFont="1" applyAlignment="1" applyProtection="1">
      <alignment vertical="top" wrapText="1"/>
      <protection/>
    </xf>
    <xf numFmtId="0" fontId="0" fillId="0" borderId="0" xfId="0" applyFill="1" applyAlignment="1">
      <alignment/>
    </xf>
    <xf numFmtId="0" fontId="0" fillId="0" borderId="0" xfId="0" applyFont="1" applyFill="1" applyAlignment="1">
      <alignment/>
    </xf>
    <xf numFmtId="164" fontId="5" fillId="35" borderId="6" xfId="52" applyNumberFormat="1" applyFont="1" applyFill="1" applyBorder="1" applyAlignment="1" applyProtection="1">
      <alignment horizontal="right" vertical="center" wrapText="1"/>
      <protection/>
    </xf>
    <xf numFmtId="0" fontId="5" fillId="40" borderId="31" xfId="60" applyFont="1" applyFill="1" applyBorder="1" applyAlignment="1" applyProtection="1">
      <alignment horizontal="left" vertical="center" wrapText="1" indent="2"/>
      <protection locked="0"/>
    </xf>
    <xf numFmtId="164" fontId="5" fillId="33" borderId="6" xfId="81" applyNumberFormat="1" applyFont="1" applyFill="1" applyBorder="1" applyAlignment="1" applyProtection="1">
      <alignment horizontal="right" vertical="center" wrapText="1"/>
      <protection/>
    </xf>
    <xf numFmtId="164" fontId="5" fillId="33" borderId="36" xfId="81" applyNumberFormat="1" applyFont="1" applyFill="1" applyBorder="1" applyAlignment="1" applyProtection="1">
      <alignment horizontal="right" vertical="center" wrapText="1"/>
      <protection/>
    </xf>
    <xf numFmtId="164" fontId="5" fillId="35" borderId="36" xfId="79" applyNumberFormat="1" applyFont="1" applyFill="1" applyBorder="1" applyAlignment="1" applyProtection="1">
      <alignment horizontal="right" vertical="center" wrapText="1"/>
      <protection/>
    </xf>
    <xf numFmtId="164" fontId="5" fillId="35" borderId="6" xfId="79" applyNumberFormat="1" applyFont="1" applyFill="1" applyBorder="1" applyAlignment="1" applyProtection="1">
      <alignment horizontal="right" vertical="center" wrapText="1"/>
      <protection/>
    </xf>
    <xf numFmtId="164" fontId="5" fillId="28" borderId="6" xfId="79" applyNumberFormat="1" applyFont="1" applyFill="1" applyBorder="1" applyAlignment="1" applyProtection="1">
      <alignment horizontal="right" vertical="center" wrapText="1"/>
      <protection locked="0"/>
    </xf>
    <xf numFmtId="164" fontId="5" fillId="28" borderId="36" xfId="79" applyNumberFormat="1" applyFont="1" applyFill="1" applyBorder="1" applyAlignment="1" applyProtection="1">
      <alignment horizontal="right" vertical="center" wrapText="1"/>
      <protection locked="0"/>
    </xf>
    <xf numFmtId="49" fontId="6" fillId="0" borderId="37" xfId="60" applyNumberFormat="1" applyFont="1" applyFill="1" applyBorder="1" applyAlignment="1" applyProtection="1">
      <alignment horizontal="center" vertical="center" wrapText="1"/>
      <protection/>
    </xf>
    <xf numFmtId="0" fontId="6" fillId="0" borderId="38" xfId="60" applyFont="1" applyFill="1" applyBorder="1" applyAlignment="1" applyProtection="1">
      <alignment vertical="center" wrapText="1"/>
      <protection/>
    </xf>
    <xf numFmtId="49" fontId="5" fillId="0" borderId="39" xfId="60" applyNumberFormat="1" applyFont="1" applyFill="1" applyBorder="1" applyAlignment="1" applyProtection="1">
      <alignment horizontal="center" vertical="center" wrapText="1"/>
      <protection/>
    </xf>
    <xf numFmtId="0" fontId="5" fillId="0" borderId="31" xfId="60" applyFont="1" applyFill="1" applyBorder="1" applyAlignment="1" applyProtection="1">
      <alignment horizontal="left" vertical="center" wrapText="1" indent="1"/>
      <protection/>
    </xf>
    <xf numFmtId="0" fontId="5" fillId="0" borderId="31" xfId="60" applyFont="1" applyFill="1" applyBorder="1" applyAlignment="1" applyProtection="1">
      <alignment horizontal="left" vertical="center" wrapText="1"/>
      <protection/>
    </xf>
    <xf numFmtId="0" fontId="5" fillId="0" borderId="31" xfId="60" applyFont="1" applyFill="1" applyBorder="1" applyAlignment="1" applyProtection="1">
      <alignment horizontal="left" vertical="center" wrapText="1" indent="2"/>
      <protection/>
    </xf>
    <xf numFmtId="0" fontId="5" fillId="0" borderId="39" xfId="60" applyNumberFormat="1" applyFont="1" applyFill="1" applyBorder="1" applyAlignment="1" applyProtection="1">
      <alignment horizontal="center" vertical="center" wrapText="1"/>
      <protection/>
    </xf>
    <xf numFmtId="164" fontId="10" fillId="38" borderId="40" xfId="42" applyNumberFormat="1" applyFont="1" applyFill="1" applyBorder="1" applyAlignment="1" applyProtection="1">
      <alignment horizontal="center" vertical="center"/>
      <protection/>
    </xf>
    <xf numFmtId="164" fontId="10" fillId="38" borderId="41" xfId="42" applyNumberFormat="1" applyFont="1" applyFill="1" applyBorder="1" applyAlignment="1" applyProtection="1">
      <alignment horizontal="center" vertical="center"/>
      <protection/>
    </xf>
    <xf numFmtId="0" fontId="6" fillId="0" borderId="31" xfId="60" applyFont="1" applyFill="1" applyBorder="1" applyAlignment="1" applyProtection="1">
      <alignment vertical="center" wrapText="1"/>
      <protection/>
    </xf>
    <xf numFmtId="164" fontId="6" fillId="33" borderId="6" xfId="81" applyNumberFormat="1" applyFont="1" applyFill="1" applyBorder="1" applyAlignment="1" applyProtection="1">
      <alignment horizontal="right" vertical="center" wrapText="1"/>
      <protection/>
    </xf>
    <xf numFmtId="164" fontId="6" fillId="33" borderId="36" xfId="81" applyNumberFormat="1" applyFont="1" applyFill="1" applyBorder="1" applyAlignment="1" applyProtection="1">
      <alignment horizontal="right" vertical="center" wrapText="1"/>
      <protection/>
    </xf>
    <xf numFmtId="2" fontId="67" fillId="38" borderId="31" xfId="42" applyNumberFormat="1" applyFont="1" applyFill="1" applyBorder="1" applyAlignment="1" applyProtection="1">
      <alignment horizontal="left" vertical="center" indent="2"/>
      <protection/>
    </xf>
    <xf numFmtId="49" fontId="5" fillId="0" borderId="32" xfId="65" applyNumberFormat="1" applyFont="1" applyFill="1" applyBorder="1" applyAlignment="1" applyProtection="1">
      <alignment horizontal="center" vertical="center"/>
      <protection/>
    </xf>
    <xf numFmtId="0" fontId="5" fillId="0" borderId="40" xfId="64" applyFont="1" applyFill="1" applyBorder="1" applyAlignment="1" applyProtection="1">
      <alignment horizontal="center" vertical="center" wrapText="1"/>
      <protection/>
    </xf>
    <xf numFmtId="4" fontId="5" fillId="0" borderId="41" xfId="65" applyNumberFormat="1" applyFont="1" applyFill="1" applyBorder="1" applyAlignment="1" applyProtection="1">
      <alignment horizontal="right" vertical="center"/>
      <protection/>
    </xf>
    <xf numFmtId="49" fontId="6" fillId="0" borderId="39" xfId="60" applyNumberFormat="1" applyFont="1" applyFill="1" applyBorder="1" applyAlignment="1" applyProtection="1">
      <alignment horizontal="center" vertical="center" wrapText="1"/>
      <protection/>
    </xf>
    <xf numFmtId="49" fontId="5" fillId="0" borderId="42" xfId="65" applyNumberFormat="1" applyFont="1" applyFill="1" applyBorder="1" applyAlignment="1" applyProtection="1">
      <alignment horizontal="center" vertical="center"/>
      <protection/>
    </xf>
    <xf numFmtId="0" fontId="68" fillId="0" borderId="0" xfId="42" applyFont="1" applyAlignment="1" applyProtection="1">
      <alignment horizontal="center"/>
      <protection/>
    </xf>
    <xf numFmtId="164" fontId="5" fillId="33" borderId="43" xfId="60" applyNumberFormat="1" applyFont="1" applyFill="1" applyBorder="1" applyAlignment="1" applyProtection="1">
      <alignment horizontal="right" vertical="center"/>
      <protection/>
    </xf>
    <xf numFmtId="164" fontId="5" fillId="33" borderId="44" xfId="60" applyNumberFormat="1" applyFont="1" applyFill="1" applyBorder="1" applyAlignment="1" applyProtection="1">
      <alignment horizontal="right" vertical="center"/>
      <protection/>
    </xf>
    <xf numFmtId="0" fontId="5" fillId="0" borderId="40" xfId="65" applyFont="1" applyFill="1" applyBorder="1" applyAlignment="1" applyProtection="1">
      <alignment horizontal="left" vertical="center" wrapText="1"/>
      <protection/>
    </xf>
    <xf numFmtId="0" fontId="5" fillId="35" borderId="43" xfId="57" applyFont="1" applyFill="1" applyBorder="1" applyAlignment="1" applyProtection="1">
      <alignment horizontal="right" vertical="center" wrapText="1"/>
      <protection/>
    </xf>
    <xf numFmtId="0" fontId="9" fillId="0" borderId="23" xfId="68" applyFont="1" applyBorder="1" applyAlignment="1" applyProtection="1">
      <alignment horizontal="center" vertical="center" wrapText="1"/>
      <protection/>
    </xf>
    <xf numFmtId="0" fontId="9" fillId="0" borderId="24" xfId="68" applyFont="1" applyBorder="1" applyAlignment="1" applyProtection="1">
      <alignment horizontal="center" vertical="center" wrapText="1"/>
      <protection/>
    </xf>
    <xf numFmtId="0" fontId="9" fillId="0" borderId="25" xfId="68" applyFont="1" applyBorder="1" applyAlignment="1" applyProtection="1">
      <alignment horizontal="center" vertical="center" wrapText="1"/>
      <protection/>
    </xf>
    <xf numFmtId="0" fontId="5" fillId="33" borderId="31" xfId="60" applyFont="1" applyFill="1" applyBorder="1" applyAlignment="1" applyProtection="1">
      <alignment horizontal="left" vertical="center" wrapText="1" indent="2"/>
      <protection/>
    </xf>
    <xf numFmtId="0" fontId="0" fillId="0" borderId="0" xfId="0" applyAlignment="1">
      <alignment horizontal="right"/>
    </xf>
    <xf numFmtId="0" fontId="69" fillId="0" borderId="0" xfId="0" applyFont="1" applyAlignment="1">
      <alignment horizontal="center"/>
    </xf>
    <xf numFmtId="49" fontId="6" fillId="0" borderId="45" xfId="60" applyNumberFormat="1" applyFont="1" applyFill="1" applyBorder="1" applyAlignment="1" applyProtection="1">
      <alignment horizontal="center" vertical="center" wrapText="1"/>
      <protection/>
    </xf>
    <xf numFmtId="0" fontId="5" fillId="0" borderId="46" xfId="60" applyFont="1" applyFill="1" applyBorder="1" applyAlignment="1" applyProtection="1">
      <alignment horizontal="left" vertical="center" wrapText="1" indent="1"/>
      <protection/>
    </xf>
    <xf numFmtId="0" fontId="6" fillId="0" borderId="40" xfId="57" applyFont="1" applyBorder="1" applyAlignment="1" applyProtection="1">
      <alignment vertical="center" wrapText="1"/>
      <protection/>
    </xf>
    <xf numFmtId="164" fontId="5" fillId="41" borderId="27" xfId="65" applyNumberFormat="1" applyFont="1" applyFill="1" applyBorder="1" applyAlignment="1" applyProtection="1">
      <alignment horizontal="right" vertical="center"/>
      <protection/>
    </xf>
    <xf numFmtId="164" fontId="6" fillId="33" borderId="47" xfId="81" applyNumberFormat="1" applyFont="1" applyFill="1" applyBorder="1" applyAlignment="1" applyProtection="1">
      <alignment horizontal="right" vertical="center" wrapText="1"/>
      <protection/>
    </xf>
    <xf numFmtId="164" fontId="5" fillId="33" borderId="48" xfId="81" applyNumberFormat="1" applyFont="1" applyFill="1" applyBorder="1" applyAlignment="1" applyProtection="1">
      <alignment horizontal="right" vertical="center" wrapText="1"/>
      <protection/>
    </xf>
    <xf numFmtId="164" fontId="6" fillId="33" borderId="49" xfId="81" applyNumberFormat="1" applyFont="1" applyFill="1" applyBorder="1" applyAlignment="1" applyProtection="1">
      <alignment horizontal="right" vertical="center" wrapText="1"/>
      <protection/>
    </xf>
    <xf numFmtId="164" fontId="5" fillId="33" borderId="50" xfId="81" applyNumberFormat="1" applyFont="1" applyFill="1" applyBorder="1" applyAlignment="1" applyProtection="1">
      <alignment horizontal="right" vertical="center" wrapText="1"/>
      <protection/>
    </xf>
    <xf numFmtId="4" fontId="5" fillId="33" borderId="6" xfId="81" applyNumberFormat="1" applyFont="1" applyFill="1" applyBorder="1" applyAlignment="1" applyProtection="1">
      <alignment horizontal="right" vertical="center" wrapText="1"/>
      <protection/>
    </xf>
    <xf numFmtId="4" fontId="5" fillId="41" borderId="27" xfId="65" applyNumberFormat="1" applyFont="1" applyFill="1" applyBorder="1" applyAlignment="1" applyProtection="1">
      <alignment horizontal="right" vertical="center"/>
      <protection/>
    </xf>
    <xf numFmtId="164" fontId="5" fillId="0" borderId="6" xfId="81" applyNumberFormat="1" applyFont="1" applyFill="1" applyBorder="1" applyAlignment="1" applyProtection="1">
      <alignment horizontal="right" vertical="center" wrapText="1"/>
      <protection/>
    </xf>
    <xf numFmtId="164" fontId="5" fillId="0" borderId="36" xfId="81" applyNumberFormat="1" applyFont="1" applyFill="1" applyBorder="1" applyAlignment="1" applyProtection="1">
      <alignment horizontal="right" vertical="center" wrapText="1"/>
      <protection/>
    </xf>
    <xf numFmtId="164" fontId="5" fillId="33" borderId="31" xfId="81" applyNumberFormat="1" applyFont="1" applyFill="1" applyBorder="1" applyAlignment="1" applyProtection="1">
      <alignment horizontal="right" vertical="center" wrapText="1"/>
      <protection/>
    </xf>
    <xf numFmtId="0" fontId="5" fillId="40" borderId="6" xfId="60" applyFont="1" applyFill="1" applyBorder="1" applyAlignment="1" applyProtection="1">
      <alignment horizontal="left" vertical="center" wrapText="1" indent="2"/>
      <protection locked="0"/>
    </xf>
    <xf numFmtId="0" fontId="5" fillId="0" borderId="6" xfId="57" applyFont="1" applyFill="1" applyBorder="1" applyAlignment="1" applyProtection="1">
      <alignment horizontal="left" vertical="center" wrapText="1" indent="4"/>
      <protection/>
    </xf>
    <xf numFmtId="0" fontId="5" fillId="0" borderId="40" xfId="57" applyFont="1" applyBorder="1" applyAlignment="1" applyProtection="1">
      <alignment horizontal="left" vertical="center" wrapText="1" indent="1"/>
      <protection/>
    </xf>
    <xf numFmtId="0" fontId="5" fillId="0" borderId="51" xfId="60" applyNumberFormat="1" applyFont="1" applyFill="1" applyBorder="1" applyAlignment="1" applyProtection="1">
      <alignment horizontal="center" vertical="center" wrapText="1"/>
      <protection/>
    </xf>
    <xf numFmtId="164" fontId="6" fillId="28" borderId="6" xfId="79" applyNumberFormat="1" applyFont="1" applyFill="1" applyBorder="1" applyAlignment="1" applyProtection="1">
      <alignment horizontal="right" vertical="center" wrapText="1"/>
      <protection locked="0"/>
    </xf>
    <xf numFmtId="164" fontId="6" fillId="28" borderId="36" xfId="79" applyNumberFormat="1" applyFont="1" applyFill="1" applyBorder="1" applyAlignment="1" applyProtection="1">
      <alignment horizontal="right" vertical="center" wrapText="1"/>
      <protection locked="0"/>
    </xf>
    <xf numFmtId="49" fontId="5" fillId="0" borderId="45" xfId="60" applyNumberFormat="1" applyFont="1" applyFill="1" applyBorder="1" applyAlignment="1" applyProtection="1">
      <alignment horizontal="center" vertical="center" wrapText="1"/>
      <protection/>
    </xf>
    <xf numFmtId="0" fontId="6" fillId="35" borderId="0" xfId="68" applyFont="1" applyFill="1" applyBorder="1" applyAlignment="1" applyProtection="1">
      <alignment horizontal="right" vertical="top" wrapText="1"/>
      <protection/>
    </xf>
    <xf numFmtId="0" fontId="70" fillId="0" borderId="0" xfId="0" applyFont="1" applyBorder="1" applyAlignment="1">
      <alignment horizontal="center"/>
    </xf>
    <xf numFmtId="0" fontId="15" fillId="0" borderId="47" xfId="68" applyFont="1" applyBorder="1" applyAlignment="1" applyProtection="1">
      <alignment horizontal="left" vertical="center" wrapText="1"/>
      <protection/>
    </xf>
    <xf numFmtId="0" fontId="5" fillId="0" borderId="31" xfId="60" applyFont="1" applyFill="1" applyBorder="1" applyAlignment="1" applyProtection="1">
      <alignment horizontal="left" vertical="center" wrapText="1" indent="3"/>
      <protection/>
    </xf>
    <xf numFmtId="3" fontId="6" fillId="33" borderId="6" xfId="81" applyNumberFormat="1" applyFont="1" applyFill="1" applyBorder="1" applyAlignment="1" applyProtection="1">
      <alignment horizontal="center" vertical="center" wrapText="1"/>
      <protection/>
    </xf>
    <xf numFmtId="3" fontId="6" fillId="33" borderId="36" xfId="81" applyNumberFormat="1" applyFont="1" applyFill="1" applyBorder="1" applyAlignment="1" applyProtection="1">
      <alignment horizontal="center" vertical="center" wrapText="1"/>
      <protection/>
    </xf>
    <xf numFmtId="3" fontId="5" fillId="33" borderId="6" xfId="81" applyNumberFormat="1" applyFont="1" applyFill="1" applyBorder="1" applyAlignment="1" applyProtection="1">
      <alignment horizontal="center" vertical="center" wrapText="1"/>
      <protection/>
    </xf>
    <xf numFmtId="3" fontId="5" fillId="33" borderId="36" xfId="81" applyNumberFormat="1" applyFont="1" applyFill="1" applyBorder="1" applyAlignment="1" applyProtection="1">
      <alignment horizontal="center" vertical="center" wrapText="1"/>
      <protection/>
    </xf>
    <xf numFmtId="0" fontId="6" fillId="0" borderId="31" xfId="60" applyFont="1" applyFill="1" applyBorder="1" applyAlignment="1" applyProtection="1">
      <alignment horizontal="right" vertical="center" wrapText="1" indent="2"/>
      <protection/>
    </xf>
    <xf numFmtId="0" fontId="5" fillId="0" borderId="31" xfId="60" applyFont="1" applyFill="1" applyBorder="1" applyAlignment="1" applyProtection="1">
      <alignment horizontal="right" vertical="center" wrapText="1" indent="2"/>
      <protection/>
    </xf>
    <xf numFmtId="0" fontId="6" fillId="0" borderId="46" xfId="60" applyFont="1" applyFill="1" applyBorder="1" applyAlignment="1" applyProtection="1">
      <alignment horizontal="right" vertical="center" wrapText="1" indent="2"/>
      <protection/>
    </xf>
    <xf numFmtId="0" fontId="68" fillId="0" borderId="0" xfId="42" applyFont="1" applyBorder="1" applyAlignment="1" applyProtection="1">
      <alignment horizontal="center"/>
      <protection/>
    </xf>
    <xf numFmtId="0" fontId="5" fillId="0" borderId="52" xfId="57" applyFont="1" applyBorder="1" applyAlignment="1" applyProtection="1">
      <alignment horizontal="left" vertical="center" wrapText="1" indent="1"/>
      <protection/>
    </xf>
    <xf numFmtId="4" fontId="5" fillId="33" borderId="48" xfId="81" applyNumberFormat="1" applyFont="1" applyFill="1" applyBorder="1" applyAlignment="1" applyProtection="1">
      <alignment horizontal="right" vertical="center" wrapText="1"/>
      <protection/>
    </xf>
    <xf numFmtId="4" fontId="5" fillId="33" borderId="50" xfId="81" applyNumberFormat="1" applyFont="1" applyFill="1" applyBorder="1" applyAlignment="1" applyProtection="1">
      <alignment horizontal="right" vertical="center" wrapText="1"/>
      <protection/>
    </xf>
    <xf numFmtId="0" fontId="5" fillId="0" borderId="40" xfId="57" applyFont="1" applyBorder="1" applyAlignment="1" applyProtection="1">
      <alignment horizontal="left" vertical="center" wrapText="1" indent="2"/>
      <protection/>
    </xf>
    <xf numFmtId="49" fontId="5" fillId="0" borderId="32" xfId="60" applyNumberFormat="1" applyFont="1" applyFill="1" applyBorder="1" applyAlignment="1" applyProtection="1">
      <alignment horizontal="center" vertical="center" wrapText="1"/>
      <protection/>
    </xf>
    <xf numFmtId="0" fontId="68" fillId="0" borderId="18" xfId="42" applyFont="1" applyBorder="1" applyAlignment="1" applyProtection="1">
      <alignment horizontal="center"/>
      <protection/>
    </xf>
    <xf numFmtId="49" fontId="5" fillId="0" borderId="53" xfId="60" applyNumberFormat="1" applyFont="1" applyFill="1" applyBorder="1" applyAlignment="1" applyProtection="1">
      <alignment horizontal="center" vertical="center" wrapText="1"/>
      <protection/>
    </xf>
    <xf numFmtId="0" fontId="5" fillId="40" borderId="31" xfId="60" applyFont="1" applyFill="1" applyBorder="1" applyAlignment="1" applyProtection="1">
      <alignment horizontal="left" vertical="center" wrapText="1" indent="3"/>
      <protection locked="0"/>
    </xf>
    <xf numFmtId="2" fontId="67" fillId="38" borderId="31" xfId="42" applyNumberFormat="1" applyFont="1" applyFill="1" applyBorder="1" applyAlignment="1" applyProtection="1">
      <alignment horizontal="left" vertical="center" indent="3"/>
      <protection/>
    </xf>
    <xf numFmtId="0" fontId="6" fillId="0" borderId="52" xfId="57" applyFont="1" applyBorder="1" applyAlignment="1" applyProtection="1">
      <alignment horizontal="left" vertical="center" wrapText="1"/>
      <protection/>
    </xf>
    <xf numFmtId="0" fontId="5" fillId="0" borderId="6" xfId="57" applyFont="1" applyFill="1" applyBorder="1" applyAlignment="1" applyProtection="1">
      <alignment horizontal="left" vertical="center" wrapText="1" indent="1"/>
      <protection/>
    </xf>
    <xf numFmtId="0" fontId="5" fillId="0" borderId="52" xfId="57" applyFont="1" applyBorder="1" applyAlignment="1" applyProtection="1">
      <alignment horizontal="right" vertical="center" wrapText="1" indent="2"/>
      <protection/>
    </xf>
    <xf numFmtId="0" fontId="42" fillId="2" borderId="0" xfId="0" applyFont="1" applyFill="1" applyBorder="1" applyAlignment="1">
      <alignment/>
    </xf>
    <xf numFmtId="0" fontId="5" fillId="37" borderId="11" xfId="66" applyFont="1" applyFill="1" applyBorder="1" applyAlignment="1" applyProtection="1">
      <alignment horizontal="center" vertical="center" wrapText="1"/>
      <protection/>
    </xf>
    <xf numFmtId="0" fontId="71" fillId="2" borderId="0" xfId="0" applyFont="1" applyFill="1" applyAlignment="1">
      <alignment horizontal="left"/>
    </xf>
    <xf numFmtId="0" fontId="0" fillId="2" borderId="0" xfId="0" applyFill="1" applyAlignment="1">
      <alignment/>
    </xf>
    <xf numFmtId="0" fontId="46" fillId="0" borderId="6" xfId="42" applyBorder="1" applyAlignment="1" applyProtection="1" quotePrefix="1">
      <alignment horizontal="center" vertical="center" wrapText="1"/>
      <protection/>
    </xf>
    <xf numFmtId="0" fontId="0" fillId="2" borderId="0" xfId="0" applyFill="1" applyAlignment="1">
      <alignment horizontal="center"/>
    </xf>
    <xf numFmtId="0" fontId="42" fillId="2" borderId="0" xfId="0" applyFont="1" applyFill="1" applyAlignment="1">
      <alignment/>
    </xf>
    <xf numFmtId="0" fontId="71" fillId="2" borderId="0" xfId="0" applyFont="1" applyFill="1" applyAlignment="1">
      <alignment horizontal="left"/>
    </xf>
    <xf numFmtId="0" fontId="5" fillId="0" borderId="46" xfId="60" applyFont="1" applyFill="1" applyBorder="1" applyAlignment="1" applyProtection="1">
      <alignment horizontal="left" vertical="center" wrapText="1" indent="2"/>
      <protection/>
    </xf>
    <xf numFmtId="0" fontId="5" fillId="33" borderId="31" xfId="60" applyFont="1" applyFill="1" applyBorder="1" applyAlignment="1" applyProtection="1">
      <alignment horizontal="left" vertical="center" wrapText="1" indent="3"/>
      <protection/>
    </xf>
    <xf numFmtId="0" fontId="5" fillId="0" borderId="6" xfId="57" applyFont="1" applyBorder="1" applyAlignment="1" applyProtection="1">
      <alignment horizontal="left" vertical="center" wrapText="1" indent="4"/>
      <protection/>
    </xf>
    <xf numFmtId="164" fontId="5" fillId="41" borderId="36" xfId="65" applyNumberFormat="1" applyFont="1" applyFill="1" applyBorder="1" applyAlignment="1" applyProtection="1">
      <alignment horizontal="right" vertical="center"/>
      <protection/>
    </xf>
    <xf numFmtId="0" fontId="5" fillId="0" borderId="6" xfId="60" applyFont="1" applyFill="1" applyBorder="1" applyAlignment="1" applyProtection="1">
      <alignment horizontal="right" vertical="center" wrapText="1" indent="2"/>
      <protection/>
    </xf>
    <xf numFmtId="0" fontId="5" fillId="33" borderId="6" xfId="60" applyFont="1" applyFill="1" applyBorder="1" applyAlignment="1" applyProtection="1">
      <alignment horizontal="left" vertical="center" wrapText="1" indent="3"/>
      <protection/>
    </xf>
    <xf numFmtId="4" fontId="5" fillId="41" borderId="36" xfId="65" applyNumberFormat="1" applyFont="1" applyFill="1" applyBorder="1" applyAlignment="1" applyProtection="1">
      <alignment horizontal="right" vertical="center"/>
      <protection/>
    </xf>
    <xf numFmtId="4" fontId="5" fillId="33" borderId="36" xfId="81" applyNumberFormat="1" applyFont="1" applyFill="1" applyBorder="1" applyAlignment="1" applyProtection="1">
      <alignment horizontal="right" vertical="center" wrapText="1"/>
      <protection/>
    </xf>
    <xf numFmtId="0" fontId="72" fillId="2" borderId="0" xfId="0" applyFont="1" applyFill="1" applyAlignment="1">
      <alignment horizontal="left"/>
    </xf>
    <xf numFmtId="0" fontId="42" fillId="2" borderId="0" xfId="0" applyFont="1" applyFill="1" applyAlignment="1">
      <alignment horizontal="left"/>
    </xf>
    <xf numFmtId="2" fontId="5" fillId="28" borderId="6" xfId="79" applyNumberFormat="1" applyFont="1" applyFill="1" applyBorder="1" applyAlignment="1" applyProtection="1">
      <alignment horizontal="right" vertical="center" wrapText="1"/>
      <protection locked="0"/>
    </xf>
    <xf numFmtId="2" fontId="5" fillId="28" borderId="36" xfId="79" applyNumberFormat="1" applyFont="1" applyFill="1" applyBorder="1" applyAlignment="1" applyProtection="1">
      <alignment horizontal="right" vertical="center" wrapText="1"/>
      <protection locked="0"/>
    </xf>
    <xf numFmtId="169" fontId="5" fillId="28" borderId="6" xfId="79" applyNumberFormat="1" applyFont="1" applyFill="1" applyBorder="1" applyAlignment="1" applyProtection="1">
      <alignment horizontal="right" vertical="center" wrapText="1"/>
      <protection locked="0"/>
    </xf>
    <xf numFmtId="169" fontId="5" fillId="28" borderId="36" xfId="79" applyNumberFormat="1" applyFont="1" applyFill="1" applyBorder="1" applyAlignment="1" applyProtection="1">
      <alignment horizontal="right" vertical="center" wrapText="1"/>
      <protection locked="0"/>
    </xf>
    <xf numFmtId="178" fontId="5" fillId="28" borderId="36" xfId="79" applyNumberFormat="1" applyFont="1" applyFill="1" applyBorder="1" applyAlignment="1" applyProtection="1">
      <alignment horizontal="right" vertical="center" wrapText="1"/>
      <protection locked="0"/>
    </xf>
    <xf numFmtId="179" fontId="5" fillId="28" borderId="6" xfId="79" applyNumberFormat="1" applyFont="1" applyFill="1" applyBorder="1" applyAlignment="1" applyProtection="1">
      <alignment horizontal="right" vertical="center" wrapText="1"/>
      <protection locked="0"/>
    </xf>
    <xf numFmtId="4" fontId="5" fillId="28" borderId="6" xfId="79" applyNumberFormat="1" applyFont="1" applyFill="1" applyBorder="1" applyAlignment="1" applyProtection="1">
      <alignment horizontal="right" vertical="center" wrapText="1"/>
      <protection locked="0"/>
    </xf>
    <xf numFmtId="4" fontId="5" fillId="28" borderId="36" xfId="79" applyNumberFormat="1" applyFont="1" applyFill="1" applyBorder="1" applyAlignment="1" applyProtection="1">
      <alignment horizontal="right" vertical="center" wrapText="1"/>
      <protection locked="0"/>
    </xf>
    <xf numFmtId="4" fontId="6" fillId="28" borderId="6" xfId="79" applyNumberFormat="1" applyFont="1" applyFill="1" applyBorder="1" applyAlignment="1" applyProtection="1">
      <alignment horizontal="right" vertical="center" wrapText="1"/>
      <protection locked="0"/>
    </xf>
    <xf numFmtId="0" fontId="5" fillId="28" borderId="6" xfId="79" applyNumberFormat="1" applyFont="1" applyFill="1" applyBorder="1" applyAlignment="1" applyProtection="1">
      <alignment horizontal="right" vertical="center" wrapText="1"/>
      <protection locked="0"/>
    </xf>
    <xf numFmtId="0" fontId="0" fillId="0" borderId="0" xfId="0" applyAlignment="1">
      <alignment horizontal="right"/>
    </xf>
    <xf numFmtId="0" fontId="6" fillId="35" borderId="29" xfId="68" applyFont="1" applyFill="1" applyBorder="1" applyAlignment="1" applyProtection="1">
      <alignment horizontal="right" vertical="top" wrapText="1"/>
      <protection/>
    </xf>
    <xf numFmtId="0" fontId="50" fillId="37" borderId="23" xfId="0" applyFont="1" applyFill="1" applyBorder="1" applyAlignment="1">
      <alignment horizontal="center" wrapText="1"/>
    </xf>
    <xf numFmtId="0" fontId="50" fillId="37" borderId="24" xfId="0" applyFont="1" applyFill="1" applyBorder="1" applyAlignment="1">
      <alignment horizontal="center" wrapText="1"/>
    </xf>
    <xf numFmtId="0" fontId="50" fillId="37" borderId="25" xfId="0" applyFont="1" applyFill="1" applyBorder="1" applyAlignment="1">
      <alignment horizontal="center" wrapText="1"/>
    </xf>
    <xf numFmtId="0" fontId="69" fillId="37" borderId="28" xfId="0" applyFont="1" applyFill="1" applyBorder="1" applyAlignment="1">
      <alignment horizontal="center" vertical="center" wrapText="1"/>
    </xf>
    <xf numFmtId="0" fontId="69" fillId="37" borderId="29" xfId="0" applyFont="1" applyFill="1" applyBorder="1" applyAlignment="1">
      <alignment horizontal="center" vertical="center" wrapText="1"/>
    </xf>
    <xf numFmtId="0" fontId="69" fillId="37" borderId="30" xfId="0" applyFont="1" applyFill="1" applyBorder="1" applyAlignment="1">
      <alignment horizontal="center" vertical="center" wrapText="1"/>
    </xf>
    <xf numFmtId="0" fontId="0" fillId="0" borderId="54" xfId="0" applyBorder="1" applyAlignment="1">
      <alignment horizontal="center"/>
    </xf>
    <xf numFmtId="0" fontId="0" fillId="37" borderId="26" xfId="61" applyNumberFormat="1" applyFont="1" applyFill="1" applyBorder="1" applyAlignment="1" applyProtection="1">
      <alignment horizontal="left" vertical="center" wrapText="1"/>
      <protection locked="0"/>
    </xf>
    <xf numFmtId="0" fontId="5" fillId="37" borderId="0" xfId="61" applyNumberFormat="1" applyFont="1" applyFill="1" applyBorder="1" applyAlignment="1" applyProtection="1">
      <alignment horizontal="left" vertical="center" wrapText="1"/>
      <protection locked="0"/>
    </xf>
    <xf numFmtId="0" fontId="5" fillId="37" borderId="27" xfId="61" applyNumberFormat="1" applyFont="1" applyFill="1" applyBorder="1" applyAlignment="1" applyProtection="1">
      <alignment horizontal="left" vertical="center" wrapText="1"/>
      <protection locked="0"/>
    </xf>
    <xf numFmtId="0" fontId="0" fillId="37" borderId="28" xfId="61" applyNumberFormat="1" applyFont="1" applyFill="1" applyBorder="1" applyAlignment="1" applyProtection="1">
      <alignment horizontal="left" vertical="center" wrapText="1"/>
      <protection locked="0"/>
    </xf>
    <xf numFmtId="0" fontId="5" fillId="37" borderId="29" xfId="61" applyNumberFormat="1" applyFont="1" applyFill="1" applyBorder="1" applyAlignment="1" applyProtection="1">
      <alignment horizontal="left" vertical="center" wrapText="1"/>
      <protection locked="0"/>
    </xf>
    <xf numFmtId="0" fontId="5" fillId="37" borderId="30" xfId="61" applyNumberFormat="1" applyFont="1" applyFill="1" applyBorder="1" applyAlignment="1" applyProtection="1">
      <alignment horizontal="left" vertical="center" wrapText="1"/>
      <protection locked="0"/>
    </xf>
    <xf numFmtId="0" fontId="0" fillId="37" borderId="23" xfId="61" applyNumberFormat="1" applyFont="1" applyFill="1" applyBorder="1" applyAlignment="1" applyProtection="1">
      <alignment horizontal="left" vertical="center" wrapText="1"/>
      <protection locked="0"/>
    </xf>
    <xf numFmtId="0" fontId="5" fillId="37" borderId="24" xfId="61" applyNumberFormat="1" applyFont="1" applyFill="1" applyBorder="1" applyAlignment="1" applyProtection="1">
      <alignment horizontal="left" vertical="center" wrapText="1"/>
      <protection locked="0"/>
    </xf>
    <xf numFmtId="0" fontId="5" fillId="37" borderId="25" xfId="61" applyNumberFormat="1" applyFont="1" applyFill="1" applyBorder="1" applyAlignment="1" applyProtection="1">
      <alignment horizontal="left" vertical="center" wrapText="1"/>
      <protection locked="0"/>
    </xf>
    <xf numFmtId="49" fontId="0" fillId="28" borderId="55" xfId="66" applyNumberFormat="1" applyFont="1" applyFill="1" applyBorder="1" applyAlignment="1" applyProtection="1">
      <alignment horizontal="center" vertical="center" wrapText="1"/>
      <protection locked="0"/>
    </xf>
    <xf numFmtId="49" fontId="5" fillId="28" borderId="56" xfId="66" applyNumberFormat="1" applyFont="1" applyFill="1" applyBorder="1" applyAlignment="1" applyProtection="1">
      <alignment horizontal="center" vertical="center" wrapText="1"/>
      <protection locked="0"/>
    </xf>
    <xf numFmtId="49" fontId="0" fillId="28" borderId="57" xfId="67" applyNumberFormat="1" applyFont="1" applyFill="1" applyBorder="1" applyAlignment="1" applyProtection="1">
      <alignment horizontal="center" vertical="center" wrapText="1"/>
      <protection locked="0"/>
    </xf>
    <xf numFmtId="49" fontId="5" fillId="28" borderId="58" xfId="67" applyNumberFormat="1" applyFont="1" applyFill="1" applyBorder="1" applyAlignment="1" applyProtection="1">
      <alignment horizontal="center" vertical="center" wrapText="1"/>
      <protection locked="0"/>
    </xf>
    <xf numFmtId="49" fontId="0" fillId="28" borderId="55" xfId="67" applyNumberFormat="1" applyFont="1" applyFill="1" applyBorder="1" applyAlignment="1" applyProtection="1">
      <alignment horizontal="center" vertical="center" wrapText="1"/>
      <protection locked="0"/>
    </xf>
    <xf numFmtId="49" fontId="5" fillId="28" borderId="56" xfId="67" applyNumberFormat="1" applyFont="1" applyFill="1" applyBorder="1" applyAlignment="1" applyProtection="1">
      <alignment horizontal="center" vertical="center" wrapText="1"/>
      <protection locked="0"/>
    </xf>
    <xf numFmtId="0" fontId="6" fillId="35" borderId="11" xfId="66" applyFont="1" applyFill="1" applyBorder="1" applyAlignment="1" applyProtection="1">
      <alignment horizontal="center" vertical="center" wrapText="1"/>
      <protection/>
    </xf>
    <xf numFmtId="0" fontId="6" fillId="35" borderId="59" xfId="66" applyFont="1" applyFill="1" applyBorder="1" applyAlignment="1" applyProtection="1">
      <alignment horizontal="center" vertical="center" wrapText="1"/>
      <protection/>
    </xf>
    <xf numFmtId="0" fontId="6" fillId="35" borderId="60" xfId="66" applyFont="1" applyFill="1" applyBorder="1" applyAlignment="1" applyProtection="1">
      <alignment horizontal="center" vertical="center" wrapText="1"/>
      <protection/>
    </xf>
    <xf numFmtId="49" fontId="0" fillId="28" borderId="57" xfId="66" applyNumberFormat="1" applyFont="1" applyFill="1" applyBorder="1" applyAlignment="1" applyProtection="1">
      <alignment horizontal="center" vertical="center" wrapText="1"/>
      <protection locked="0"/>
    </xf>
    <xf numFmtId="49" fontId="5" fillId="28" borderId="58" xfId="66" applyNumberFormat="1" applyFont="1" applyFill="1" applyBorder="1" applyAlignment="1" applyProtection="1">
      <alignment horizontal="center" vertical="center" wrapText="1"/>
      <protection locked="0"/>
    </xf>
    <xf numFmtId="0" fontId="5" fillId="33" borderId="59" xfId="67" applyNumberFormat="1" applyFont="1" applyFill="1" applyBorder="1" applyAlignment="1" applyProtection="1">
      <alignment horizontal="center" vertical="center" wrapText="1"/>
      <protection/>
    </xf>
    <xf numFmtId="0" fontId="5" fillId="33" borderId="60" xfId="67" applyNumberFormat="1" applyFont="1" applyFill="1" applyBorder="1" applyAlignment="1" applyProtection="1">
      <alignment horizontal="center" vertical="center" wrapText="1"/>
      <protection/>
    </xf>
    <xf numFmtId="49" fontId="5" fillId="33" borderId="59" xfId="67" applyNumberFormat="1" applyFont="1" applyFill="1" applyBorder="1" applyAlignment="1" applyProtection="1">
      <alignment horizontal="center" vertical="center" wrapText="1"/>
      <protection/>
    </xf>
    <xf numFmtId="49" fontId="5" fillId="33" borderId="60" xfId="67" applyNumberFormat="1" applyFont="1" applyFill="1" applyBorder="1" applyAlignment="1" applyProtection="1">
      <alignment horizontal="center" vertical="center" wrapText="1"/>
      <protection/>
    </xf>
    <xf numFmtId="0" fontId="6" fillId="0" borderId="11" xfId="66" applyFont="1" applyFill="1" applyBorder="1" applyAlignment="1" applyProtection="1">
      <alignment horizontal="center" vertical="center" wrapText="1"/>
      <protection/>
    </xf>
    <xf numFmtId="0" fontId="6" fillId="0" borderId="59" xfId="66" applyFont="1" applyFill="1" applyBorder="1" applyAlignment="1" applyProtection="1">
      <alignment horizontal="center" vertical="center" wrapText="1"/>
      <protection/>
    </xf>
    <xf numFmtId="0" fontId="6" fillId="0" borderId="60" xfId="66" applyFont="1" applyFill="1" applyBorder="1" applyAlignment="1" applyProtection="1">
      <alignment horizontal="center" vertical="center" wrapText="1"/>
      <protection/>
    </xf>
    <xf numFmtId="49" fontId="5" fillId="40" borderId="59" xfId="66" applyNumberFormat="1" applyFont="1" applyFill="1" applyBorder="1" applyAlignment="1" applyProtection="1">
      <alignment horizontal="center" vertical="center" wrapText="1"/>
      <protection locked="0"/>
    </xf>
    <xf numFmtId="49" fontId="5" fillId="40" borderId="60" xfId="66" applyNumberFormat="1" applyFont="1" applyFill="1" applyBorder="1" applyAlignment="1" applyProtection="1">
      <alignment horizontal="center" vertical="center" wrapText="1"/>
      <protection locked="0"/>
    </xf>
    <xf numFmtId="49" fontId="5" fillId="40" borderId="61" xfId="67" applyNumberFormat="1" applyFont="1" applyFill="1" applyBorder="1" applyAlignment="1" applyProtection="1">
      <alignment horizontal="center" vertical="center" wrapText="1"/>
      <protection locked="0"/>
    </xf>
    <xf numFmtId="49" fontId="5" fillId="40" borderId="62" xfId="67" applyNumberFormat="1" applyFont="1" applyFill="1" applyBorder="1" applyAlignment="1" applyProtection="1">
      <alignment horizontal="center" vertical="center" wrapText="1"/>
      <protection locked="0"/>
    </xf>
    <xf numFmtId="0" fontId="4" fillId="37" borderId="63" xfId="66" applyFont="1" applyFill="1" applyBorder="1" applyAlignment="1" applyProtection="1">
      <alignment horizontal="center" vertical="center" wrapText="1"/>
      <protection/>
    </xf>
    <xf numFmtId="0" fontId="4" fillId="37" borderId="64" xfId="66" applyFont="1" applyFill="1" applyBorder="1" applyAlignment="1" applyProtection="1">
      <alignment horizontal="center" vertical="center" wrapText="1"/>
      <protection/>
    </xf>
    <xf numFmtId="0" fontId="4" fillId="37" borderId="65" xfId="66" applyFont="1" applyFill="1" applyBorder="1" applyAlignment="1" applyProtection="1">
      <alignment horizontal="center" vertical="center" wrapText="1"/>
      <protection/>
    </xf>
    <xf numFmtId="0" fontId="6" fillId="36" borderId="0" xfId="66" applyFont="1" applyFill="1" applyBorder="1" applyAlignment="1" applyProtection="1">
      <alignment horizontal="center" vertical="center" wrapText="1"/>
      <protection/>
    </xf>
    <xf numFmtId="0" fontId="5" fillId="35" borderId="61" xfId="66" applyFont="1" applyFill="1" applyBorder="1" applyAlignment="1" applyProtection="1">
      <alignment horizontal="center" vertical="center" wrapText="1"/>
      <protection/>
    </xf>
    <xf numFmtId="0" fontId="5" fillId="35" borderId="62" xfId="66" applyFont="1" applyFill="1" applyBorder="1" applyAlignment="1" applyProtection="1">
      <alignment horizontal="center" vertical="center" wrapText="1"/>
      <protection/>
    </xf>
    <xf numFmtId="14" fontId="5" fillId="35" borderId="0" xfId="67" applyNumberFormat="1" applyFont="1" applyFill="1" applyBorder="1" applyAlignment="1" applyProtection="1">
      <alignment horizontal="center" vertical="center" wrapText="1"/>
      <protection/>
    </xf>
    <xf numFmtId="0" fontId="0" fillId="0" borderId="0" xfId="0" applyFont="1" applyAlignment="1">
      <alignment horizontal="right"/>
    </xf>
    <xf numFmtId="0" fontId="5" fillId="0" borderId="39" xfId="60" applyNumberFormat="1" applyFont="1" applyFill="1" applyBorder="1" applyAlignment="1" applyProtection="1">
      <alignment horizontal="center" vertical="center" wrapText="1"/>
      <protection/>
    </xf>
    <xf numFmtId="0" fontId="5" fillId="0" borderId="53" xfId="60" applyNumberFormat="1" applyFont="1" applyFill="1" applyBorder="1" applyAlignment="1" applyProtection="1">
      <alignment horizontal="center" vertical="center" wrapText="1"/>
      <protection/>
    </xf>
    <xf numFmtId="0" fontId="5" fillId="0" borderId="45" xfId="60" applyNumberFormat="1" applyFont="1" applyFill="1" applyBorder="1" applyAlignment="1" applyProtection="1">
      <alignment horizontal="center" vertical="center" wrapText="1"/>
      <protection/>
    </xf>
    <xf numFmtId="0" fontId="69" fillId="0" borderId="0" xfId="0" applyFont="1" applyAlignment="1">
      <alignment horizontal="center"/>
    </xf>
    <xf numFmtId="0" fontId="73" fillId="0" borderId="16" xfId="0" applyFont="1" applyBorder="1" applyAlignment="1">
      <alignment horizontal="right"/>
    </xf>
    <xf numFmtId="0" fontId="69" fillId="37" borderId="23" xfId="0" applyFont="1" applyFill="1" applyBorder="1" applyAlignment="1">
      <alignment horizontal="center" vertical="center" wrapText="1"/>
    </xf>
    <xf numFmtId="0" fontId="69" fillId="37" borderId="24" xfId="0" applyFont="1" applyFill="1" applyBorder="1" applyAlignment="1">
      <alignment horizontal="center" vertical="center" wrapText="1"/>
    </xf>
    <xf numFmtId="0" fontId="69" fillId="37" borderId="25" xfId="0" applyFont="1" applyFill="1" applyBorder="1" applyAlignment="1">
      <alignment horizontal="center" vertical="center" wrapText="1"/>
    </xf>
    <xf numFmtId="0" fontId="5" fillId="0" borderId="51" xfId="60" applyNumberFormat="1" applyFont="1" applyFill="1" applyBorder="1" applyAlignment="1" applyProtection="1">
      <alignment horizontal="center" vertical="center" wrapText="1"/>
      <protection/>
    </xf>
    <xf numFmtId="0" fontId="5" fillId="0" borderId="26" xfId="60" applyNumberFormat="1" applyFont="1" applyFill="1" applyBorder="1" applyAlignment="1" applyProtection="1">
      <alignment horizontal="center" vertical="center" wrapText="1"/>
      <protection/>
    </xf>
    <xf numFmtId="0" fontId="50" fillId="0" borderId="0" xfId="0" applyFont="1" applyAlignment="1">
      <alignment horizontal="right"/>
    </xf>
    <xf numFmtId="0" fontId="69" fillId="37" borderId="28" xfId="0" applyFont="1" applyFill="1" applyBorder="1" applyAlignment="1">
      <alignment horizontal="center" vertical="center"/>
    </xf>
    <xf numFmtId="0" fontId="69" fillId="37" borderId="29" xfId="0" applyFont="1" applyFill="1" applyBorder="1" applyAlignment="1">
      <alignment horizontal="center" vertical="center"/>
    </xf>
    <xf numFmtId="0" fontId="69" fillId="37" borderId="30" xfId="0" applyFont="1" applyFill="1" applyBorder="1" applyAlignment="1">
      <alignment horizontal="center" vertical="center"/>
    </xf>
    <xf numFmtId="49" fontId="5" fillId="28" borderId="39" xfId="67" applyNumberFormat="1" applyFont="1" applyFill="1" applyBorder="1" applyAlignment="1" applyProtection="1">
      <alignment horizontal="left" vertical="center" wrapText="1"/>
      <protection locked="0"/>
    </xf>
    <xf numFmtId="49" fontId="5" fillId="28" borderId="6" xfId="67" applyNumberFormat="1" applyFont="1" applyFill="1" applyBorder="1" applyAlignment="1" applyProtection="1">
      <alignment horizontal="left" vertical="center" wrapText="1"/>
      <protection locked="0"/>
    </xf>
    <xf numFmtId="49" fontId="5" fillId="28" borderId="36" xfId="67" applyNumberFormat="1" applyFont="1" applyFill="1" applyBorder="1" applyAlignment="1" applyProtection="1">
      <alignment horizontal="left" vertical="center" wrapText="1"/>
      <protection locked="0"/>
    </xf>
    <xf numFmtId="49" fontId="5" fillId="28" borderId="42" xfId="67" applyNumberFormat="1" applyFont="1" applyFill="1" applyBorder="1" applyAlignment="1" applyProtection="1">
      <alignment horizontal="left" vertical="center" wrapText="1"/>
      <protection locked="0"/>
    </xf>
    <xf numFmtId="49" fontId="5" fillId="28" borderId="43" xfId="67" applyNumberFormat="1" applyFont="1" applyFill="1" applyBorder="1" applyAlignment="1" applyProtection="1">
      <alignment horizontal="left" vertical="center" wrapText="1"/>
      <protection locked="0"/>
    </xf>
    <xf numFmtId="49" fontId="5" fillId="28" borderId="44" xfId="67" applyNumberFormat="1" applyFont="1" applyFill="1" applyBorder="1" applyAlignment="1" applyProtection="1">
      <alignment horizontal="left" vertical="center" wrapText="1"/>
      <protection locked="0"/>
    </xf>
    <xf numFmtId="49" fontId="5" fillId="28" borderId="66" xfId="67" applyNumberFormat="1" applyFont="1" applyFill="1" applyBorder="1" applyAlignment="1" applyProtection="1">
      <alignment horizontal="left" vertical="center" wrapText="1"/>
      <protection locked="0"/>
    </xf>
    <xf numFmtId="49" fontId="5" fillId="28" borderId="67" xfId="67" applyNumberFormat="1" applyFont="1" applyFill="1" applyBorder="1" applyAlignment="1" applyProtection="1">
      <alignment horizontal="left" vertical="center" wrapText="1"/>
      <protection locked="0"/>
    </xf>
    <xf numFmtId="49" fontId="5" fillId="28" borderId="68" xfId="67" applyNumberFormat="1" applyFont="1" applyFill="1" applyBorder="1" applyAlignment="1" applyProtection="1">
      <alignment horizontal="left" vertical="center" wrapText="1"/>
      <protection locked="0"/>
    </xf>
    <xf numFmtId="49" fontId="5" fillId="28" borderId="45" xfId="67" applyNumberFormat="1" applyFont="1" applyFill="1" applyBorder="1" applyAlignment="1" applyProtection="1">
      <alignment horizontal="left" vertical="center" wrapText="1"/>
      <protection locked="0"/>
    </xf>
    <xf numFmtId="49" fontId="5" fillId="28" borderId="48" xfId="67" applyNumberFormat="1" applyFont="1" applyFill="1" applyBorder="1" applyAlignment="1" applyProtection="1">
      <alignment horizontal="left" vertical="center" wrapText="1"/>
      <protection locked="0"/>
    </xf>
    <xf numFmtId="49" fontId="5" fillId="28" borderId="50" xfId="67" applyNumberFormat="1" applyFont="1" applyFill="1" applyBorder="1" applyAlignment="1" applyProtection="1">
      <alignment horizontal="left" vertical="center" wrapText="1"/>
      <protection locked="0"/>
    </xf>
    <xf numFmtId="0" fontId="46" fillId="0" borderId="54" xfId="42" applyBorder="1" applyAlignment="1" applyProtection="1">
      <alignment horizont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Гиперссылка 3 2" xfId="45"/>
    <cellStyle name="Currency" xfId="46"/>
    <cellStyle name="Currency [0]" xfId="47"/>
    <cellStyle name="Заголовок 1" xfId="48"/>
    <cellStyle name="Заголовок 2" xfId="49"/>
    <cellStyle name="Заголовок 3" xfId="50"/>
    <cellStyle name="Заголовок 4" xfId="51"/>
    <cellStyle name="Значение" xfId="52"/>
    <cellStyle name="Итог" xfId="53"/>
    <cellStyle name="Контрольная ячейка" xfId="54"/>
    <cellStyle name="Название" xfId="55"/>
    <cellStyle name="Нейтральный" xfId="56"/>
    <cellStyle name="Обычный 11 2" xfId="57"/>
    <cellStyle name="Обычный 2" xfId="58"/>
    <cellStyle name="Обычный 2 2" xfId="59"/>
    <cellStyle name="Обычный 3" xfId="60"/>
    <cellStyle name="Обычный_KV.ITOG.4.78(v1.0)" xfId="61"/>
    <cellStyle name="Обычный_PRIL1.ELECTR" xfId="62"/>
    <cellStyle name="Обычный_WARM.TOPL.Q1.2010" xfId="63"/>
    <cellStyle name="Обычный_ГУП ТЭК 2009" xfId="64"/>
    <cellStyle name="Обычный_ГУП ТЭК 2009 2" xfId="65"/>
    <cellStyle name="Обычный_ЖКУ_проект3" xfId="66"/>
    <cellStyle name="Обычный_форма 1 водопровод для орг" xfId="67"/>
    <cellStyle name="Обычный_Формы 2-РЭК и  3-РЭК "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Финансовый 3 7" xfId="78"/>
    <cellStyle name="Финансовый 3 8" xfId="79"/>
    <cellStyle name="Финансовый 3 9" xfId="80"/>
    <cellStyle name="Формула_EE.GP.BAL.4.78"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51"/>
  <sheetViews>
    <sheetView zoomScale="85" zoomScaleNormal="85" zoomScalePageLayoutView="0" workbookViewId="0" topLeftCell="A1">
      <selection activeCell="E15" sqref="E15"/>
    </sheetView>
  </sheetViews>
  <sheetFormatPr defaultColWidth="9.140625" defaultRowHeight="11.25"/>
  <cols>
    <col min="1" max="1" width="9.140625" style="1" customWidth="1"/>
    <col min="2" max="2" width="10.421875" style="1" customWidth="1"/>
    <col min="3" max="7" width="9.140625" style="1" customWidth="1"/>
    <col min="8" max="8" width="10.8515625" style="1" customWidth="1"/>
    <col min="9" max="9" width="9.140625" style="1" customWidth="1"/>
    <col min="10" max="10" width="18.140625" style="1" customWidth="1"/>
    <col min="11" max="11" width="9.140625" style="42" customWidth="1"/>
    <col min="12" max="12" width="9.140625" style="1" customWidth="1"/>
    <col min="13" max="13" width="18.7109375" style="1" bestFit="1" customWidth="1"/>
    <col min="14" max="15" width="9.140625" style="1" customWidth="1"/>
    <col min="16" max="16" width="9.140625" style="113" customWidth="1"/>
    <col min="17" max="17" width="26.00390625" style="1" customWidth="1"/>
    <col min="18" max="18" width="35.8515625" style="1" customWidth="1"/>
    <col min="19" max="19" width="26.8515625" style="1" customWidth="1"/>
    <col min="20" max="20" width="18.7109375" style="1" customWidth="1"/>
    <col min="21" max="16384" width="9.140625" style="1" customWidth="1"/>
  </cols>
  <sheetData>
    <row r="1" spans="2:22" ht="11.25">
      <c r="B1" t="s">
        <v>50</v>
      </c>
      <c r="C1"/>
      <c r="E1" s="1" t="s">
        <v>2</v>
      </c>
      <c r="F1" s="1" t="s">
        <v>3</v>
      </c>
      <c r="G1" t="s">
        <v>8</v>
      </c>
      <c r="H1" t="s">
        <v>9</v>
      </c>
      <c r="I1" t="s">
        <v>31</v>
      </c>
      <c r="J1" t="s">
        <v>62</v>
      </c>
      <c r="K1" s="43"/>
      <c r="M1" s="106"/>
      <c r="N1" s="106"/>
      <c r="P1" s="112"/>
      <c r="Q1" s="43"/>
      <c r="R1"/>
      <c r="S1" t="s">
        <v>137</v>
      </c>
      <c r="T1" t="s">
        <v>138</v>
      </c>
      <c r="U1"/>
      <c r="V1" t="s">
        <v>139</v>
      </c>
    </row>
    <row r="2" spans="2:21" ht="11.25">
      <c r="B2" t="s">
        <v>0</v>
      </c>
      <c r="C2" s="66" t="s">
        <v>147</v>
      </c>
      <c r="G2" s="42">
        <v>2012</v>
      </c>
      <c r="H2" s="43" t="s">
        <v>29</v>
      </c>
      <c r="I2" s="43" t="s">
        <v>32</v>
      </c>
      <c r="J2" s="43">
        <v>1</v>
      </c>
      <c r="K2" s="43"/>
      <c r="M2" s="107" t="s">
        <v>130</v>
      </c>
      <c r="N2" s="106">
        <v>1</v>
      </c>
      <c r="Q2" s="100"/>
      <c r="R2" s="1" t="s">
        <v>211</v>
      </c>
      <c r="U2" s="1">
        <v>27662899</v>
      </c>
    </row>
    <row r="3" spans="2:21" ht="11.25">
      <c r="B3" t="s">
        <v>35</v>
      </c>
      <c r="C3" s="66" t="s">
        <v>146</v>
      </c>
      <c r="E3"/>
      <c r="F3"/>
      <c r="G3" s="42">
        <v>2013</v>
      </c>
      <c r="H3" s="43" t="s">
        <v>30</v>
      </c>
      <c r="I3" s="43" t="s">
        <v>33</v>
      </c>
      <c r="J3" s="43">
        <v>1</v>
      </c>
      <c r="K3" s="43"/>
      <c r="M3" s="107" t="s">
        <v>129</v>
      </c>
      <c r="N3" s="106">
        <v>1</v>
      </c>
      <c r="Q3" s="100"/>
      <c r="R3" s="1" t="s">
        <v>74</v>
      </c>
      <c r="U3" s="1">
        <v>26322157</v>
      </c>
    </row>
    <row r="4" spans="2:21" ht="11.25">
      <c r="B4" s="1" t="s">
        <v>1</v>
      </c>
      <c r="C4" s="66" t="s">
        <v>234</v>
      </c>
      <c r="E4"/>
      <c r="F4" s="66"/>
      <c r="G4" s="42">
        <v>2014</v>
      </c>
      <c r="H4" s="43" t="s">
        <v>20</v>
      </c>
      <c r="J4" s="43">
        <v>1</v>
      </c>
      <c r="K4" s="43"/>
      <c r="M4" s="107"/>
      <c r="N4" s="106"/>
      <c r="Q4" s="100"/>
      <c r="R4" s="1" t="s">
        <v>68</v>
      </c>
      <c r="U4" s="1">
        <v>26361104</v>
      </c>
    </row>
    <row r="5" spans="2:21" ht="11.25">
      <c r="B5" t="s">
        <v>23</v>
      </c>
      <c r="C5" s="66" t="s">
        <v>67</v>
      </c>
      <c r="E5" t="s">
        <v>53</v>
      </c>
      <c r="F5" s="66"/>
      <c r="G5" s="42">
        <v>2015</v>
      </c>
      <c r="H5" s="43" t="s">
        <v>8</v>
      </c>
      <c r="J5"/>
      <c r="K5" s="43"/>
      <c r="Q5" s="100"/>
      <c r="R5" s="1" t="s">
        <v>77</v>
      </c>
      <c r="U5" s="1">
        <v>26322162</v>
      </c>
    </row>
    <row r="6" spans="2:21" ht="11.25">
      <c r="B6" s="1" t="s">
        <v>36</v>
      </c>
      <c r="C6" s="67" t="str">
        <f>Титульный!F14</f>
        <v>ООО "Воздушные ворота северной столицы"</v>
      </c>
      <c r="E6" t="s">
        <v>54</v>
      </c>
      <c r="F6" s="66"/>
      <c r="G6" s="42">
        <v>2016</v>
      </c>
      <c r="J6"/>
      <c r="K6" s="43"/>
      <c r="Q6" s="100"/>
      <c r="R6" s="1" t="s">
        <v>79</v>
      </c>
      <c r="U6" s="1">
        <v>26322155</v>
      </c>
    </row>
    <row r="7" spans="2:21" ht="11.25">
      <c r="B7" s="1" t="s">
        <v>37</v>
      </c>
      <c r="C7" s="67">
        <f>YEAR_PERIOD</f>
        <v>2014</v>
      </c>
      <c r="E7" t="s">
        <v>55</v>
      </c>
      <c r="F7" s="66"/>
      <c r="G7" s="42">
        <v>2017</v>
      </c>
      <c r="J7"/>
      <c r="K7" s="43"/>
      <c r="P7" s="112"/>
      <c r="Q7" s="101"/>
      <c r="R7" s="1" t="s">
        <v>120</v>
      </c>
      <c r="U7" s="1">
        <v>26361117</v>
      </c>
    </row>
    <row r="8" spans="2:21" ht="11.25">
      <c r="B8" s="1" t="s">
        <v>39</v>
      </c>
      <c r="C8" s="67" t="str">
        <f>MONTH_PERIOD</f>
        <v>Год</v>
      </c>
      <c r="E8" t="s">
        <v>49</v>
      </c>
      <c r="G8" s="42">
        <v>2018</v>
      </c>
      <c r="J8"/>
      <c r="K8" s="43"/>
      <c r="P8" s="112"/>
      <c r="Q8" s="101"/>
      <c r="R8" s="1" t="s">
        <v>82</v>
      </c>
      <c r="U8" s="1">
        <v>26820325</v>
      </c>
    </row>
    <row r="9" spans="2:21" ht="11.25">
      <c r="B9" s="1" t="s">
        <v>38</v>
      </c>
      <c r="C9" s="67" t="str">
        <f>PF</f>
        <v>Факт</v>
      </c>
      <c r="E9" t="s">
        <v>24</v>
      </c>
      <c r="G9" s="42">
        <v>2019</v>
      </c>
      <c r="J9"/>
      <c r="K9" s="43"/>
      <c r="P9" s="112"/>
      <c r="Q9" s="101"/>
      <c r="R9" s="1" t="s">
        <v>84</v>
      </c>
      <c r="U9" s="1">
        <v>26322153</v>
      </c>
    </row>
    <row r="10" spans="3:21" ht="11.25">
      <c r="C10" s="67"/>
      <c r="G10" s="42">
        <v>2020</v>
      </c>
      <c r="J10"/>
      <c r="K10" s="43"/>
      <c r="P10" s="112"/>
      <c r="Q10" s="100"/>
      <c r="R10" s="1" t="s">
        <v>264</v>
      </c>
      <c r="U10" s="1">
        <v>26425009</v>
      </c>
    </row>
    <row r="11" spans="10:21" ht="11.25">
      <c r="J11"/>
      <c r="K11" s="43"/>
      <c r="R11" s="1" t="s">
        <v>209</v>
      </c>
      <c r="U11" s="1">
        <v>26424207</v>
      </c>
    </row>
    <row r="12" spans="10:21" ht="11.25">
      <c r="J12"/>
      <c r="K12" s="43"/>
      <c r="R12" s="1" t="s">
        <v>47</v>
      </c>
      <c r="U12" s="1">
        <v>26420583</v>
      </c>
    </row>
    <row r="13" spans="10:21" ht="11.25">
      <c r="J13"/>
      <c r="K13" s="43"/>
      <c r="R13" s="1" t="s">
        <v>70</v>
      </c>
      <c r="U13" s="1">
        <v>26361094</v>
      </c>
    </row>
    <row r="14" spans="10:21" ht="11.25">
      <c r="J14"/>
      <c r="K14" s="43"/>
      <c r="R14" s="1" t="s">
        <v>87</v>
      </c>
      <c r="U14" s="1">
        <v>26322152</v>
      </c>
    </row>
    <row r="15" spans="18:21" ht="11.25">
      <c r="R15" s="1" t="s">
        <v>72</v>
      </c>
      <c r="U15" s="1">
        <v>26361102</v>
      </c>
    </row>
    <row r="16" spans="18:21" ht="11.25">
      <c r="R16" s="1" t="s">
        <v>89</v>
      </c>
      <c r="U16" s="1">
        <v>27126047</v>
      </c>
    </row>
    <row r="17" spans="18:21" ht="11.25">
      <c r="R17" s="1" t="s">
        <v>124</v>
      </c>
      <c r="U17" s="1">
        <v>26617350</v>
      </c>
    </row>
    <row r="18" spans="18:21" ht="11.25">
      <c r="R18" s="1" t="s">
        <v>92</v>
      </c>
      <c r="U18" s="1">
        <v>26797003</v>
      </c>
    </row>
    <row r="19" spans="18:21" ht="11.25">
      <c r="R19" s="1" t="s">
        <v>93</v>
      </c>
      <c r="U19" s="1">
        <v>26322163</v>
      </c>
    </row>
    <row r="20" spans="18:21" ht="11.25">
      <c r="R20" s="1" t="s">
        <v>248</v>
      </c>
      <c r="U20" s="1">
        <v>27307314</v>
      </c>
    </row>
    <row r="21" spans="18:21" ht="11.25">
      <c r="R21" s="1" t="s">
        <v>95</v>
      </c>
      <c r="U21" s="1">
        <v>26424359</v>
      </c>
    </row>
    <row r="22" spans="18:21" ht="11.25">
      <c r="R22" s="1" t="s">
        <v>96</v>
      </c>
      <c r="U22" s="1">
        <v>26322156</v>
      </c>
    </row>
    <row r="23" spans="18:21" ht="11.25">
      <c r="R23" s="1" t="s">
        <v>98</v>
      </c>
      <c r="U23" s="1">
        <v>26322159</v>
      </c>
    </row>
    <row r="24" spans="18:21" ht="11.25">
      <c r="R24" s="1" t="s">
        <v>100</v>
      </c>
      <c r="U24" s="1">
        <v>26322161</v>
      </c>
    </row>
    <row r="25" spans="18:21" ht="11.25">
      <c r="R25" s="1" t="s">
        <v>126</v>
      </c>
      <c r="U25" s="1">
        <v>27954259</v>
      </c>
    </row>
    <row r="26" spans="18:21" ht="11.25">
      <c r="R26" s="1" t="s">
        <v>233</v>
      </c>
      <c r="U26" s="1">
        <v>26569253</v>
      </c>
    </row>
    <row r="27" spans="18:21" ht="11.25">
      <c r="R27" s="1" t="s">
        <v>44</v>
      </c>
      <c r="U27" s="1">
        <v>26555079</v>
      </c>
    </row>
    <row r="28" spans="18:21" ht="11.25">
      <c r="R28" s="1" t="s">
        <v>253</v>
      </c>
      <c r="U28" s="1">
        <v>28505242</v>
      </c>
    </row>
    <row r="29" spans="18:21" ht="11.25">
      <c r="R29" s="1" t="s">
        <v>118</v>
      </c>
      <c r="U29" s="1">
        <v>26427401</v>
      </c>
    </row>
    <row r="30" spans="18:21" ht="11.25">
      <c r="R30" s="1" t="s">
        <v>102</v>
      </c>
      <c r="U30" s="1">
        <v>26608446</v>
      </c>
    </row>
    <row r="31" spans="18:21" ht="11.25">
      <c r="R31" s="1" t="s">
        <v>232</v>
      </c>
      <c r="U31" s="1">
        <v>27855290</v>
      </c>
    </row>
    <row r="32" spans="18:21" ht="11.25">
      <c r="R32" s="1" t="s">
        <v>210</v>
      </c>
      <c r="U32" s="1">
        <v>28042091</v>
      </c>
    </row>
    <row r="33" spans="18:21" ht="11.25">
      <c r="R33" s="1" t="s">
        <v>265</v>
      </c>
      <c r="U33" s="1">
        <v>26424139</v>
      </c>
    </row>
    <row r="34" spans="18:21" ht="11.25">
      <c r="R34" s="1" t="s">
        <v>104</v>
      </c>
      <c r="U34" s="1">
        <v>26322164</v>
      </c>
    </row>
    <row r="35" spans="18:21" ht="11.25">
      <c r="R35" s="1" t="s">
        <v>266</v>
      </c>
      <c r="U35" s="1">
        <v>28423754</v>
      </c>
    </row>
    <row r="36" spans="18:21" ht="11.25">
      <c r="R36" s="1" t="s">
        <v>267</v>
      </c>
      <c r="U36" s="1">
        <v>26416221</v>
      </c>
    </row>
    <row r="37" spans="18:21" ht="11.25">
      <c r="R37" s="1" t="s">
        <v>125</v>
      </c>
      <c r="U37" s="1">
        <v>27666778</v>
      </c>
    </row>
    <row r="38" spans="18:21" ht="11.25">
      <c r="R38" s="1" t="s">
        <v>119</v>
      </c>
      <c r="U38" s="1">
        <v>26502786</v>
      </c>
    </row>
    <row r="39" spans="18:21" ht="11.25">
      <c r="R39" s="1" t="s">
        <v>106</v>
      </c>
      <c r="U39" s="1">
        <v>27546318</v>
      </c>
    </row>
    <row r="40" spans="18:21" ht="11.25">
      <c r="R40" s="1" t="s">
        <v>268</v>
      </c>
      <c r="U40" s="1">
        <v>26424150</v>
      </c>
    </row>
    <row r="41" spans="18:21" ht="11.25">
      <c r="R41" s="1" t="s">
        <v>256</v>
      </c>
      <c r="U41" s="1">
        <v>28505252</v>
      </c>
    </row>
    <row r="42" spans="18:21" ht="11.25">
      <c r="R42" s="1" t="s">
        <v>109</v>
      </c>
      <c r="U42" s="1">
        <v>26840521</v>
      </c>
    </row>
    <row r="43" spans="18:21" ht="11.25">
      <c r="R43" s="1" t="s">
        <v>111</v>
      </c>
      <c r="U43" s="1">
        <v>26597512</v>
      </c>
    </row>
    <row r="44" spans="18:21" ht="11.25">
      <c r="R44" s="1" t="s">
        <v>269</v>
      </c>
      <c r="U44" s="1">
        <v>27629946</v>
      </c>
    </row>
    <row r="45" spans="18:21" ht="11.25">
      <c r="R45" s="1" t="s">
        <v>270</v>
      </c>
      <c r="U45" s="1">
        <v>28493125</v>
      </c>
    </row>
    <row r="46" spans="18:21" ht="11.25">
      <c r="R46" s="1" t="s">
        <v>122</v>
      </c>
      <c r="U46" s="1">
        <v>26512589</v>
      </c>
    </row>
    <row r="47" spans="18:21" ht="11.25">
      <c r="R47" s="1" t="s">
        <v>123</v>
      </c>
      <c r="U47" s="1">
        <v>26555876</v>
      </c>
    </row>
    <row r="48" spans="18:21" ht="11.25">
      <c r="R48" s="1" t="s">
        <v>113</v>
      </c>
      <c r="U48" s="1">
        <v>26322158</v>
      </c>
    </row>
    <row r="49" spans="18:21" ht="11.25">
      <c r="R49" s="1" t="s">
        <v>116</v>
      </c>
      <c r="U49" s="1">
        <v>26322166</v>
      </c>
    </row>
    <row r="50" spans="18:21" ht="11.25">
      <c r="R50" s="1" t="s">
        <v>261</v>
      </c>
      <c r="U50" s="1">
        <v>28262183</v>
      </c>
    </row>
    <row r="51" ht="11.25">
      <c r="R51" s="1" t="s">
        <v>179</v>
      </c>
    </row>
  </sheetData>
  <sheetProtection formatColumns="0" formatRows="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2" sqref="A2:A27"/>
    </sheetView>
  </sheetViews>
  <sheetFormatPr defaultColWidth="21.57421875" defaultRowHeight="11.25"/>
  <cols>
    <col min="1" max="1" width="71.00390625" style="44" customWidth="1"/>
    <col min="2" max="2" width="11.140625" style="12" bestFit="1" customWidth="1"/>
    <col min="3" max="3" width="10.140625" style="30" bestFit="1" customWidth="1"/>
    <col min="4" max="4" width="55.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40" t="s">
        <v>6</v>
      </c>
      <c r="C1" s="40" t="s">
        <v>7</v>
      </c>
      <c r="D1" s="40" t="s">
        <v>19</v>
      </c>
      <c r="E1" s="12" t="s">
        <v>21</v>
      </c>
    </row>
    <row r="2" spans="1:5" ht="11.25">
      <c r="A2" s="40" t="s">
        <v>74</v>
      </c>
      <c r="B2" s="40" t="s">
        <v>75</v>
      </c>
      <c r="C2" s="40" t="s">
        <v>43</v>
      </c>
      <c r="D2" s="111" t="s">
        <v>76</v>
      </c>
      <c r="E2" s="12">
        <v>26322157</v>
      </c>
    </row>
    <row r="3" spans="1:5" ht="45">
      <c r="A3" s="40" t="s">
        <v>68</v>
      </c>
      <c r="B3" s="40" t="s">
        <v>69</v>
      </c>
      <c r="C3" s="40" t="s">
        <v>43</v>
      </c>
      <c r="D3" s="111" t="s">
        <v>243</v>
      </c>
      <c r="E3" s="12">
        <v>26361104</v>
      </c>
    </row>
    <row r="4" spans="1:5" ht="11.25">
      <c r="A4" s="40" t="s">
        <v>77</v>
      </c>
      <c r="B4" s="40" t="s">
        <v>78</v>
      </c>
      <c r="C4" s="40" t="s">
        <v>58</v>
      </c>
      <c r="D4" s="111" t="s">
        <v>76</v>
      </c>
      <c r="E4" s="12">
        <v>26322162</v>
      </c>
    </row>
    <row r="5" spans="1:5" ht="11.25">
      <c r="A5" s="40" t="s">
        <v>79</v>
      </c>
      <c r="B5" s="40" t="s">
        <v>80</v>
      </c>
      <c r="C5" s="40" t="s">
        <v>81</v>
      </c>
      <c r="D5" s="111" t="s">
        <v>76</v>
      </c>
      <c r="E5" s="12">
        <v>26322155</v>
      </c>
    </row>
    <row r="6" spans="1:5" ht="11.25">
      <c r="A6" s="40" t="s">
        <v>120</v>
      </c>
      <c r="B6" s="40" t="s">
        <v>121</v>
      </c>
      <c r="C6" s="40" t="s">
        <v>58</v>
      </c>
      <c r="D6" s="111" t="s">
        <v>76</v>
      </c>
      <c r="E6" s="12">
        <v>26361117</v>
      </c>
    </row>
    <row r="7" spans="1:5" ht="11.25">
      <c r="A7" s="40" t="s">
        <v>82</v>
      </c>
      <c r="B7" s="40" t="s">
        <v>83</v>
      </c>
      <c r="C7" s="40" t="s">
        <v>244</v>
      </c>
      <c r="D7" s="111" t="s">
        <v>76</v>
      </c>
      <c r="E7" s="12">
        <v>26820325</v>
      </c>
    </row>
    <row r="8" spans="1:5" ht="11.25">
      <c r="A8" s="40" t="s">
        <v>84</v>
      </c>
      <c r="B8" s="40" t="s">
        <v>85</v>
      </c>
      <c r="C8" s="40" t="s">
        <v>86</v>
      </c>
      <c r="D8" s="111" t="s">
        <v>76</v>
      </c>
      <c r="E8" s="12">
        <v>26322153</v>
      </c>
    </row>
    <row r="9" spans="1:5" ht="45">
      <c r="A9" s="40" t="s">
        <v>47</v>
      </c>
      <c r="B9" s="40" t="s">
        <v>51</v>
      </c>
      <c r="C9" s="40" t="s">
        <v>41</v>
      </c>
      <c r="D9" s="111" t="s">
        <v>245</v>
      </c>
      <c r="E9" s="12">
        <v>26420583</v>
      </c>
    </row>
    <row r="10" spans="1:5" ht="56.25">
      <c r="A10" s="40" t="s">
        <v>70</v>
      </c>
      <c r="B10" s="40" t="s">
        <v>71</v>
      </c>
      <c r="C10" s="40" t="s">
        <v>41</v>
      </c>
      <c r="D10" s="111" t="s">
        <v>246</v>
      </c>
      <c r="E10" s="12">
        <v>26361094</v>
      </c>
    </row>
    <row r="11" spans="1:5" ht="11.25">
      <c r="A11" s="40" t="s">
        <v>87</v>
      </c>
      <c r="B11" s="40" t="s">
        <v>88</v>
      </c>
      <c r="C11" s="40" t="s">
        <v>42</v>
      </c>
      <c r="D11" s="111" t="s">
        <v>76</v>
      </c>
      <c r="E11" s="12">
        <v>26322152</v>
      </c>
    </row>
    <row r="12" spans="1:5" ht="56.25">
      <c r="A12" s="40" t="s">
        <v>72</v>
      </c>
      <c r="B12" s="40" t="s">
        <v>73</v>
      </c>
      <c r="C12" s="40" t="s">
        <v>208</v>
      </c>
      <c r="D12" s="111" t="s">
        <v>247</v>
      </c>
      <c r="E12" s="12">
        <v>26361102</v>
      </c>
    </row>
    <row r="13" spans="1:5" ht="11.25">
      <c r="A13" s="40" t="s">
        <v>89</v>
      </c>
      <c r="B13" s="40" t="s">
        <v>90</v>
      </c>
      <c r="C13" s="40" t="s">
        <v>91</v>
      </c>
      <c r="D13" s="111" t="s">
        <v>76</v>
      </c>
      <c r="E13" s="12">
        <v>27126047</v>
      </c>
    </row>
    <row r="14" spans="1:5" ht="11.25">
      <c r="A14" s="40" t="s">
        <v>93</v>
      </c>
      <c r="B14" s="40" t="s">
        <v>94</v>
      </c>
      <c r="C14" s="40" t="s">
        <v>46</v>
      </c>
      <c r="D14" s="111" t="s">
        <v>76</v>
      </c>
      <c r="E14" s="12">
        <v>26322163</v>
      </c>
    </row>
    <row r="15" spans="1:5" ht="45">
      <c r="A15" s="40" t="s">
        <v>248</v>
      </c>
      <c r="B15" s="40" t="s">
        <v>249</v>
      </c>
      <c r="C15" s="40" t="s">
        <v>250</v>
      </c>
      <c r="D15" s="111" t="s">
        <v>251</v>
      </c>
      <c r="E15" s="12">
        <v>27307314</v>
      </c>
    </row>
    <row r="16" spans="1:5" ht="11.25">
      <c r="A16" s="40" t="s">
        <v>96</v>
      </c>
      <c r="B16" s="40" t="s">
        <v>97</v>
      </c>
      <c r="C16" s="40" t="s">
        <v>41</v>
      </c>
      <c r="D16" s="111" t="s">
        <v>76</v>
      </c>
      <c r="E16" s="12">
        <v>26322156</v>
      </c>
    </row>
    <row r="17" spans="1:5" ht="11.25">
      <c r="A17" s="40" t="s">
        <v>98</v>
      </c>
      <c r="B17" s="40" t="s">
        <v>63</v>
      </c>
      <c r="C17" s="40" t="s">
        <v>99</v>
      </c>
      <c r="D17" s="111" t="s">
        <v>76</v>
      </c>
      <c r="E17" s="12">
        <v>26322159</v>
      </c>
    </row>
    <row r="18" spans="1:5" ht="11.25">
      <c r="A18" s="40" t="s">
        <v>100</v>
      </c>
      <c r="B18" s="40" t="s">
        <v>101</v>
      </c>
      <c r="C18" s="40" t="s">
        <v>42</v>
      </c>
      <c r="D18" s="111" t="s">
        <v>76</v>
      </c>
      <c r="E18" s="12">
        <v>26322161</v>
      </c>
    </row>
    <row r="19" spans="1:5" ht="11.25">
      <c r="A19" s="40" t="s">
        <v>126</v>
      </c>
      <c r="B19" s="40" t="s">
        <v>127</v>
      </c>
      <c r="C19" s="40" t="s">
        <v>128</v>
      </c>
      <c r="D19" s="111" t="s">
        <v>76</v>
      </c>
      <c r="E19" s="12">
        <v>27954259</v>
      </c>
    </row>
    <row r="20" spans="1:5" ht="56.25">
      <c r="A20" s="40" t="s">
        <v>44</v>
      </c>
      <c r="B20" s="40" t="s">
        <v>45</v>
      </c>
      <c r="C20" s="40" t="s">
        <v>208</v>
      </c>
      <c r="D20" s="111" t="s">
        <v>252</v>
      </c>
      <c r="E20" s="12">
        <v>26555079</v>
      </c>
    </row>
    <row r="21" spans="1:5" ht="11.25">
      <c r="A21" s="40" t="s">
        <v>253</v>
      </c>
      <c r="B21" s="40" t="s">
        <v>254</v>
      </c>
      <c r="C21" s="40" t="s">
        <v>255</v>
      </c>
      <c r="D21" s="111" t="s">
        <v>76</v>
      </c>
      <c r="E21" s="12">
        <v>28505242</v>
      </c>
    </row>
    <row r="22" spans="1:5" ht="11.25">
      <c r="A22" s="40" t="s">
        <v>102</v>
      </c>
      <c r="B22" s="40" t="s">
        <v>103</v>
      </c>
      <c r="C22" s="40" t="s">
        <v>58</v>
      </c>
      <c r="D22" s="111" t="s">
        <v>76</v>
      </c>
      <c r="E22" s="12">
        <v>26608446</v>
      </c>
    </row>
    <row r="23" spans="1:5" ht="22.5">
      <c r="A23" s="40" t="s">
        <v>104</v>
      </c>
      <c r="B23" s="40" t="s">
        <v>105</v>
      </c>
      <c r="C23" s="40" t="s">
        <v>52</v>
      </c>
      <c r="D23" s="111" t="s">
        <v>207</v>
      </c>
      <c r="E23" s="12">
        <v>26322164</v>
      </c>
    </row>
    <row r="24" spans="1:5" ht="11.25">
      <c r="A24" s="40" t="s">
        <v>106</v>
      </c>
      <c r="B24" s="40" t="s">
        <v>107</v>
      </c>
      <c r="C24" s="40" t="s">
        <v>108</v>
      </c>
      <c r="D24" s="111" t="s">
        <v>76</v>
      </c>
      <c r="E24" s="12">
        <v>27546318</v>
      </c>
    </row>
    <row r="25" spans="1:5" ht="11.25">
      <c r="A25" s="40" t="s">
        <v>256</v>
      </c>
      <c r="B25" s="40" t="s">
        <v>257</v>
      </c>
      <c r="C25" s="40" t="s">
        <v>258</v>
      </c>
      <c r="D25" s="111" t="s">
        <v>76</v>
      </c>
      <c r="E25" s="12">
        <v>28505252</v>
      </c>
    </row>
    <row r="26" spans="1:5" ht="11.25">
      <c r="A26" s="40" t="s">
        <v>109</v>
      </c>
      <c r="B26" s="40" t="s">
        <v>110</v>
      </c>
      <c r="C26" s="40" t="s">
        <v>259</v>
      </c>
      <c r="D26" s="111" t="s">
        <v>76</v>
      </c>
      <c r="E26" s="12">
        <v>26840521</v>
      </c>
    </row>
    <row r="27" spans="1:5" ht="11.25">
      <c r="A27" s="40" t="s">
        <v>111</v>
      </c>
      <c r="B27" s="40" t="s">
        <v>112</v>
      </c>
      <c r="C27" s="40" t="s">
        <v>86</v>
      </c>
      <c r="D27" s="111" t="s">
        <v>76</v>
      </c>
      <c r="E27" s="12">
        <v>26597512</v>
      </c>
    </row>
    <row r="28" spans="1:5" ht="11.25">
      <c r="A28" s="40" t="s">
        <v>113</v>
      </c>
      <c r="B28" s="40" t="s">
        <v>114</v>
      </c>
      <c r="C28" s="40" t="s">
        <v>115</v>
      </c>
      <c r="D28" s="111" t="s">
        <v>76</v>
      </c>
      <c r="E28" s="12">
        <v>26322158</v>
      </c>
    </row>
    <row r="29" spans="1:5" ht="45">
      <c r="A29" s="40" t="s">
        <v>116</v>
      </c>
      <c r="B29" s="40" t="s">
        <v>117</v>
      </c>
      <c r="C29" s="40" t="s">
        <v>41</v>
      </c>
      <c r="D29" s="111" t="s">
        <v>260</v>
      </c>
      <c r="E29" s="12">
        <v>26322166</v>
      </c>
    </row>
    <row r="30" spans="1:5" ht="11.25">
      <c r="A30" s="40" t="s">
        <v>261</v>
      </c>
      <c r="B30" s="40" t="s">
        <v>262</v>
      </c>
      <c r="C30" s="40" t="s">
        <v>208</v>
      </c>
      <c r="D30" s="111" t="s">
        <v>76</v>
      </c>
      <c r="E30" s="12">
        <v>28262183</v>
      </c>
    </row>
    <row r="31" spans="1:4" ht="11.25">
      <c r="A31" s="40"/>
      <c r="B31" s="40"/>
      <c r="C31" s="40"/>
      <c r="D31" s="111"/>
    </row>
    <row r="32" spans="1:4" ht="11.25">
      <c r="A32" s="40"/>
      <c r="B32" s="40"/>
      <c r="C32" s="40"/>
      <c r="D32" s="111"/>
    </row>
    <row r="33" spans="1:4" ht="11.25">
      <c r="A33" s="40"/>
      <c r="B33" s="40"/>
      <c r="C33" s="40"/>
      <c r="D33" s="111"/>
    </row>
    <row r="34" spans="1:4" ht="11.25">
      <c r="A34" s="40"/>
      <c r="B34" s="40"/>
      <c r="C34" s="40"/>
      <c r="D34" s="111"/>
    </row>
    <row r="35" spans="1:4" ht="11.25">
      <c r="A35" s="40"/>
      <c r="B35" s="40"/>
      <c r="C35" s="40"/>
      <c r="D35" s="111"/>
    </row>
    <row r="36" spans="1:4" ht="11.25">
      <c r="A36" s="40"/>
      <c r="B36" s="40"/>
      <c r="C36" s="40"/>
      <c r="D36" s="40"/>
    </row>
    <row r="37" spans="1:4" ht="11.25">
      <c r="A37" s="40"/>
      <c r="B37" s="40"/>
      <c r="C37" s="40"/>
      <c r="D37" s="40"/>
    </row>
    <row r="38" spans="1:4" ht="11.25">
      <c r="A38" s="40"/>
      <c r="B38" s="40"/>
      <c r="C38" s="40"/>
      <c r="D38" s="40"/>
    </row>
    <row r="39" spans="1:4" ht="11.25">
      <c r="A39" s="40"/>
      <c r="B39" s="40"/>
      <c r="C39" s="40"/>
      <c r="D39" s="40"/>
    </row>
    <row r="40" spans="1:4" ht="11.25">
      <c r="A40" s="40"/>
      <c r="B40" s="40"/>
      <c r="C40" s="40"/>
      <c r="D40" s="40"/>
    </row>
    <row r="41" spans="1:4" ht="11.25">
      <c r="A41" s="40"/>
      <c r="B41" s="40"/>
      <c r="C41" s="40"/>
      <c r="D41" s="40"/>
    </row>
    <row r="42" spans="1:4" ht="11.25">
      <c r="A42" s="40"/>
      <c r="B42" s="40"/>
      <c r="C42" s="40"/>
      <c r="D42" s="40"/>
    </row>
    <row r="43" spans="1:4" ht="11.25">
      <c r="A43" s="40"/>
      <c r="B43" s="40"/>
      <c r="C43" s="40"/>
      <c r="D43" s="40"/>
    </row>
    <row r="44" spans="1:4" ht="11.25">
      <c r="A44" s="40"/>
      <c r="B44" s="40"/>
      <c r="C44" s="40"/>
      <c r="D44" s="40"/>
    </row>
    <row r="45" spans="1:4" ht="11.25">
      <c r="A45" s="40"/>
      <c r="B45" s="40"/>
      <c r="C45" s="40"/>
      <c r="D45" s="40"/>
    </row>
    <row r="46" spans="1:4" ht="11.25">
      <c r="A46" s="40"/>
      <c r="B46" s="40"/>
      <c r="C46" s="40"/>
      <c r="D46" s="40"/>
    </row>
    <row r="47" spans="1:4" ht="11.25">
      <c r="A47" s="40"/>
      <c r="B47" s="40"/>
      <c r="C47" s="40"/>
      <c r="D47" s="40"/>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5">
    <pageSetUpPr fitToPage="1"/>
  </sheetPr>
  <dimension ref="A4:H36"/>
  <sheetViews>
    <sheetView showGridLines="0" zoomScalePageLayoutView="0" workbookViewId="0" topLeftCell="C28">
      <selection activeCell="C4" sqref="C4"/>
    </sheetView>
  </sheetViews>
  <sheetFormatPr defaultColWidth="9.140625" defaultRowHeight="11.25"/>
  <cols>
    <col min="1" max="2" width="0" style="46" hidden="1"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23" t="str">
        <f>FORMCODE</f>
        <v>EE.NET.BAL.4.178</v>
      </c>
      <c r="H4" s="223"/>
    </row>
    <row r="5" spans="7:8" ht="11.25">
      <c r="G5" s="223" t="str">
        <f>VERSION</f>
        <v>Версия 1.0</v>
      </c>
      <c r="H5" s="223"/>
    </row>
    <row r="6" spans="7:8" ht="11.25">
      <c r="G6" s="72"/>
      <c r="H6" s="72"/>
    </row>
    <row r="7" spans="7:8" ht="12" thickBot="1">
      <c r="G7" s="224"/>
      <c r="H7" s="224"/>
    </row>
    <row r="8" spans="4:8" ht="11.25">
      <c r="D8" s="225" t="s">
        <v>48</v>
      </c>
      <c r="E8" s="226"/>
      <c r="F8" s="226"/>
      <c r="G8" s="226"/>
      <c r="H8" s="227"/>
    </row>
    <row r="9" spans="4:8" ht="32.25" customHeight="1" thickBot="1">
      <c r="D9" s="228" t="str">
        <f>FORMNAME</f>
        <v>Баланс электрической энергии и мощности организации, оказывающей услуги по передаче электрической энергии</v>
      </c>
      <c r="E9" s="229"/>
      <c r="F9" s="229"/>
      <c r="G9" s="229"/>
      <c r="H9" s="230"/>
    </row>
    <row r="10" spans="4:8" ht="11.25">
      <c r="D10" s="231"/>
      <c r="E10" s="231"/>
      <c r="F10" s="231"/>
      <c r="G10" s="231"/>
      <c r="H10" s="231"/>
    </row>
    <row r="11" spans="4:8" ht="12" thickBot="1">
      <c r="D11" s="33"/>
      <c r="E11" s="34"/>
      <c r="F11" s="34"/>
      <c r="G11" s="34"/>
      <c r="H11" s="37"/>
    </row>
    <row r="12" spans="4:8" ht="29.25" customHeight="1">
      <c r="D12" s="32"/>
      <c r="E12" s="238"/>
      <c r="F12" s="239"/>
      <c r="G12" s="240"/>
      <c r="H12" s="38"/>
    </row>
    <row r="13" spans="4:8" ht="29.25" customHeight="1">
      <c r="D13" s="32"/>
      <c r="E13" s="102"/>
      <c r="F13" s="103"/>
      <c r="G13" s="104"/>
      <c r="H13" s="38"/>
    </row>
    <row r="14" spans="4:8" ht="29.25" customHeight="1">
      <c r="D14" s="32"/>
      <c r="E14" s="102"/>
      <c r="F14" s="103"/>
      <c r="G14" s="104"/>
      <c r="H14" s="38"/>
    </row>
    <row r="15" spans="4:8" ht="29.25" customHeight="1">
      <c r="D15" s="32"/>
      <c r="E15" s="102"/>
      <c r="F15" s="103"/>
      <c r="G15" s="104"/>
      <c r="H15" s="38"/>
    </row>
    <row r="16" spans="4:8" ht="29.25" customHeight="1">
      <c r="D16" s="32"/>
      <c r="E16" s="102"/>
      <c r="F16" s="103"/>
      <c r="G16" s="104"/>
      <c r="H16" s="38"/>
    </row>
    <row r="17" spans="4:8" ht="29.25" customHeight="1">
      <c r="D17" s="32"/>
      <c r="E17" s="102"/>
      <c r="F17" s="103"/>
      <c r="G17" s="104"/>
      <c r="H17" s="38"/>
    </row>
    <row r="18" spans="4:8" ht="29.25" customHeight="1">
      <c r="D18" s="32"/>
      <c r="E18" s="102"/>
      <c r="F18" s="103"/>
      <c r="G18" s="104"/>
      <c r="H18" s="38"/>
    </row>
    <row r="19" spans="4:8" ht="29.25" customHeight="1">
      <c r="D19" s="32"/>
      <c r="E19" s="102"/>
      <c r="F19" s="103"/>
      <c r="G19" s="104"/>
      <c r="H19" s="38"/>
    </row>
    <row r="20" spans="4:8" ht="29.25" customHeight="1">
      <c r="D20" s="32"/>
      <c r="E20" s="102"/>
      <c r="F20" s="103"/>
      <c r="G20" s="104"/>
      <c r="H20" s="38"/>
    </row>
    <row r="21" spans="4:8" ht="29.25" customHeight="1">
      <c r="D21" s="32"/>
      <c r="E21" s="102"/>
      <c r="F21" s="103"/>
      <c r="G21" s="104"/>
      <c r="H21" s="38"/>
    </row>
    <row r="22" spans="4:8" ht="29.25" customHeight="1">
      <c r="D22" s="32"/>
      <c r="E22" s="102"/>
      <c r="F22" s="103"/>
      <c r="G22" s="104"/>
      <c r="H22" s="38"/>
    </row>
    <row r="23" spans="4:8" ht="29.25" customHeight="1">
      <c r="D23" s="32"/>
      <c r="E23" s="102"/>
      <c r="F23" s="103"/>
      <c r="G23" s="104"/>
      <c r="H23" s="38"/>
    </row>
    <row r="24" spans="4:8" ht="29.25" customHeight="1">
      <c r="D24" s="32"/>
      <c r="E24" s="102"/>
      <c r="F24" s="103"/>
      <c r="G24" s="104"/>
      <c r="H24" s="38"/>
    </row>
    <row r="25" spans="4:8" ht="29.25" customHeight="1">
      <c r="D25" s="32"/>
      <c r="E25" s="102"/>
      <c r="F25" s="103"/>
      <c r="G25" s="104"/>
      <c r="H25" s="38"/>
    </row>
    <row r="26" spans="4:8" ht="29.25" customHeight="1">
      <c r="D26" s="32"/>
      <c r="E26" s="102"/>
      <c r="F26" s="103"/>
      <c r="G26" s="104"/>
      <c r="H26" s="38"/>
    </row>
    <row r="27" spans="4:8" ht="29.25" customHeight="1">
      <c r="D27" s="32"/>
      <c r="E27" s="232"/>
      <c r="F27" s="233"/>
      <c r="G27" s="234"/>
      <c r="H27" s="38"/>
    </row>
    <row r="28" spans="4:8" ht="29.25" customHeight="1">
      <c r="D28" s="32"/>
      <c r="E28" s="232"/>
      <c r="F28" s="233"/>
      <c r="G28" s="234"/>
      <c r="H28" s="38"/>
    </row>
    <row r="29" spans="4:8" ht="29.25" customHeight="1">
      <c r="D29" s="32"/>
      <c r="E29" s="232"/>
      <c r="F29" s="233"/>
      <c r="G29" s="234"/>
      <c r="H29" s="38"/>
    </row>
    <row r="30" spans="4:8" ht="29.25" customHeight="1">
      <c r="D30" s="32"/>
      <c r="E30" s="232"/>
      <c r="F30" s="233"/>
      <c r="G30" s="234"/>
      <c r="H30" s="38"/>
    </row>
    <row r="31" spans="4:8" ht="29.25" customHeight="1">
      <c r="D31" s="32"/>
      <c r="E31" s="232"/>
      <c r="F31" s="233"/>
      <c r="G31" s="234"/>
      <c r="H31" s="38"/>
    </row>
    <row r="32" spans="4:8" ht="29.25" customHeight="1">
      <c r="D32" s="32"/>
      <c r="E32" s="232"/>
      <c r="F32" s="233"/>
      <c r="G32" s="234"/>
      <c r="H32" s="38"/>
    </row>
    <row r="33" spans="1:8" s="57" customFormat="1" ht="29.25" customHeight="1">
      <c r="A33" s="58"/>
      <c r="B33" s="58"/>
      <c r="D33" s="32"/>
      <c r="E33" s="232"/>
      <c r="F33" s="233"/>
      <c r="G33" s="234"/>
      <c r="H33" s="38"/>
    </row>
    <row r="34" spans="1:8" s="57" customFormat="1" ht="29.25" customHeight="1">
      <c r="A34" s="58"/>
      <c r="B34" s="58"/>
      <c r="D34" s="32"/>
      <c r="E34" s="232"/>
      <c r="F34" s="233"/>
      <c r="G34" s="234"/>
      <c r="H34" s="38"/>
    </row>
    <row r="35" spans="1:8" s="57" customFormat="1" ht="29.25" customHeight="1" thickBot="1">
      <c r="A35" s="58"/>
      <c r="B35" s="58"/>
      <c r="D35" s="32"/>
      <c r="E35" s="235"/>
      <c r="F35" s="236"/>
      <c r="G35" s="237"/>
      <c r="H35" s="38"/>
    </row>
    <row r="36" spans="4:8" ht="11.25">
      <c r="D36" s="35"/>
      <c r="E36" s="36"/>
      <c r="F36" s="36"/>
      <c r="G36" s="36"/>
      <c r="H36" s="39"/>
    </row>
  </sheetData>
  <sheetProtection password="E4D4" sheet="1" objects="1" scenarios="1" formatColumns="0" formatRows="0"/>
  <mergeCells count="16">
    <mergeCell ref="E32:G32"/>
    <mergeCell ref="E33:G33"/>
    <mergeCell ref="E34:G34"/>
    <mergeCell ref="E35:G35"/>
    <mergeCell ref="E12:G12"/>
    <mergeCell ref="E27:G27"/>
    <mergeCell ref="E28:G28"/>
    <mergeCell ref="E29:G29"/>
    <mergeCell ref="E30:G30"/>
    <mergeCell ref="E31:G31"/>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12677957" r:id="rId1"/>
  </oleObjects>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21</v>
      </c>
    </row>
    <row r="2" spans="1:7" s="3" customFormat="1" ht="11.25">
      <c r="A2" s="40" t="s">
        <v>44</v>
      </c>
      <c r="B2" s="40" t="s">
        <v>45</v>
      </c>
      <c r="C2" s="40" t="s">
        <v>208</v>
      </c>
      <c r="D2" s="40" t="s">
        <v>252</v>
      </c>
      <c r="E2" s="40">
        <v>26555079</v>
      </c>
      <c r="F2" s="40"/>
      <c r="G2" s="40"/>
    </row>
    <row r="3" spans="1:7" s="3" customFormat="1" ht="11.25">
      <c r="A3" s="40"/>
      <c r="B3" s="40"/>
      <c r="C3" s="40"/>
      <c r="D3" s="40"/>
      <c r="E3" s="40"/>
      <c r="F3" s="40"/>
      <c r="G3" s="40"/>
    </row>
    <row r="4" spans="1:7" s="3" customFormat="1" ht="11.25">
      <c r="A4" s="40"/>
      <c r="B4" s="40"/>
      <c r="C4" s="40"/>
      <c r="D4" s="40"/>
      <c r="E4" s="40"/>
      <c r="F4" s="40"/>
      <c r="G4" s="40"/>
    </row>
    <row r="5" spans="1:7" s="3" customFormat="1" ht="11.25">
      <c r="A5" s="40"/>
      <c r="B5" s="40"/>
      <c r="C5" s="40"/>
      <c r="D5" s="40"/>
      <c r="E5" s="40"/>
      <c r="F5" s="40"/>
      <c r="G5" s="40"/>
    </row>
    <row r="6" spans="1:7" ht="11.25">
      <c r="A6" s="40"/>
      <c r="B6" s="40"/>
      <c r="C6" s="40"/>
      <c r="D6" s="40"/>
      <c r="E6" s="40"/>
      <c r="F6" s="40"/>
      <c r="G6" s="40"/>
    </row>
    <row r="7" spans="1:7" ht="11.25">
      <c r="A7" s="40"/>
      <c r="B7" s="40"/>
      <c r="C7" s="40"/>
      <c r="D7" s="40"/>
      <c r="E7" s="40"/>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J47"/>
  <sheetViews>
    <sheetView showGridLines="0" workbookViewId="0" topLeftCell="C4">
      <selection activeCell="I53" sqref="I53"/>
    </sheetView>
  </sheetViews>
  <sheetFormatPr defaultColWidth="9.140625" defaultRowHeight="11.25"/>
  <cols>
    <col min="1" max="1" width="8.28125" style="49" hidden="1" customWidth="1"/>
    <col min="2" max="2" width="7.140625" style="48" hidden="1" customWidth="1"/>
    <col min="3" max="3" width="15.7109375" style="10" customWidth="1"/>
    <col min="4" max="4" width="5.57421875" style="12" customWidth="1"/>
    <col min="5" max="5" width="32.8515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6384" width="9.140625" style="12" customWidth="1"/>
  </cols>
  <sheetData>
    <row r="1" spans="1:8" s="49" customFormat="1" ht="14.25" customHeight="1" hidden="1">
      <c r="A1" s="47">
        <v>26555079</v>
      </c>
      <c r="B1" s="48"/>
      <c r="G1" s="52"/>
      <c r="H1" s="52"/>
    </row>
    <row r="2" spans="1:8" s="49" customFormat="1" ht="14.25" customHeight="1" hidden="1">
      <c r="A2" s="47"/>
      <c r="B2" s="48"/>
      <c r="G2" s="52"/>
      <c r="H2" s="52"/>
    </row>
    <row r="3" spans="1:8" s="49" customFormat="1" ht="14.25" customHeight="1" hidden="1">
      <c r="A3" s="47"/>
      <c r="B3" s="48"/>
      <c r="G3" s="52"/>
      <c r="H3" s="52"/>
    </row>
    <row r="4" spans="1:9" s="3" customFormat="1" ht="14.25" customHeight="1">
      <c r="A4" s="49"/>
      <c r="B4" s="48"/>
      <c r="G4" s="270" t="str">
        <f>FORMCODE</f>
        <v>EE.NET.BAL.4.178</v>
      </c>
      <c r="H4" s="270"/>
      <c r="I4" s="4"/>
    </row>
    <row r="5" spans="1:9" s="3" customFormat="1" ht="14.25" customHeight="1">
      <c r="A5" s="49"/>
      <c r="B5" s="48"/>
      <c r="D5" s="6"/>
      <c r="E5" s="6"/>
      <c r="F5" s="6"/>
      <c r="G5" s="270" t="str">
        <f>VERSION</f>
        <v>Версия 1.0</v>
      </c>
      <c r="H5" s="270"/>
      <c r="I5" s="5"/>
    </row>
    <row r="6" spans="1:9" s="3" customFormat="1" ht="14.25" customHeight="1" thickBot="1">
      <c r="A6" s="49"/>
      <c r="B6" s="48"/>
      <c r="D6" s="6"/>
      <c r="E6" s="7"/>
      <c r="F6" s="8"/>
      <c r="G6" s="9"/>
      <c r="H6" s="9"/>
      <c r="I6" s="5"/>
    </row>
    <row r="7" spans="4:9" ht="30" customHeight="1" thickBot="1">
      <c r="D7" s="263" t="str">
        <f>FORMNAME</f>
        <v>Баланс электрической энергии и мощности организации, оказывающей услуги по передаче электрической энергии</v>
      </c>
      <c r="E7" s="264"/>
      <c r="F7" s="264"/>
      <c r="G7" s="264"/>
      <c r="H7" s="265"/>
      <c r="I7" s="11"/>
    </row>
    <row r="8" spans="1:9" s="16" customFormat="1" ht="11.25">
      <c r="A8" s="49"/>
      <c r="B8" s="48"/>
      <c r="C8" s="13"/>
      <c r="D8" s="14"/>
      <c r="E8" s="14"/>
      <c r="F8" s="14"/>
      <c r="G8" s="14"/>
      <c r="H8" s="14"/>
      <c r="I8" s="15"/>
    </row>
    <row r="9" spans="1:9" s="16" customFormat="1" ht="14.25" customHeight="1">
      <c r="A9" s="49"/>
      <c r="B9" s="48"/>
      <c r="C9" s="13"/>
      <c r="D9" s="266" t="s">
        <v>4</v>
      </c>
      <c r="E9" s="266"/>
      <c r="F9" s="266"/>
      <c r="G9" s="266"/>
      <c r="H9" s="266"/>
      <c r="I9" s="15"/>
    </row>
    <row r="10" spans="4:9" ht="12" thickBot="1">
      <c r="D10" s="15"/>
      <c r="E10" s="15"/>
      <c r="F10" s="15"/>
      <c r="G10" s="17"/>
      <c r="H10" s="18"/>
      <c r="I10" s="11"/>
    </row>
    <row r="11" spans="4:9" ht="15" customHeight="1">
      <c r="D11" s="73"/>
      <c r="E11" s="74"/>
      <c r="F11" s="74"/>
      <c r="G11" s="75"/>
      <c r="H11" s="76"/>
      <c r="I11" s="11"/>
    </row>
    <row r="12" spans="4:9" ht="30" customHeight="1">
      <c r="D12" s="77"/>
      <c r="E12" s="19"/>
      <c r="F12" s="267" t="s">
        <v>263</v>
      </c>
      <c r="G12" s="268"/>
      <c r="H12" s="78"/>
      <c r="I12" s="11"/>
    </row>
    <row r="13" spans="4:9" ht="15" customHeight="1">
      <c r="D13" s="79"/>
      <c r="E13" s="20"/>
      <c r="F13" s="269"/>
      <c r="G13" s="269"/>
      <c r="H13" s="80"/>
      <c r="I13" s="22"/>
    </row>
    <row r="14" spans="3:9" ht="27.75" customHeight="1">
      <c r="C14" s="23"/>
      <c r="D14" s="79"/>
      <c r="E14" s="53" t="s">
        <v>5</v>
      </c>
      <c r="F14" s="252" t="s">
        <v>44</v>
      </c>
      <c r="G14" s="253"/>
      <c r="H14" s="80"/>
      <c r="I14" s="22"/>
    </row>
    <row r="15" spans="3:9" ht="15" customHeight="1">
      <c r="C15" s="23"/>
      <c r="D15" s="79"/>
      <c r="E15" s="24"/>
      <c r="F15" s="25"/>
      <c r="G15" s="21"/>
      <c r="H15" s="80"/>
      <c r="I15" s="22"/>
    </row>
    <row r="16" spans="4:9" ht="27.75" customHeight="1">
      <c r="D16" s="79"/>
      <c r="E16" s="53" t="s">
        <v>6</v>
      </c>
      <c r="F16" s="254" t="s">
        <v>45</v>
      </c>
      <c r="G16" s="255"/>
      <c r="H16" s="81"/>
      <c r="I16" s="22"/>
    </row>
    <row r="17" spans="4:9" ht="27.75" customHeight="1">
      <c r="D17" s="79"/>
      <c r="E17" s="53" t="s">
        <v>7</v>
      </c>
      <c r="F17" s="254" t="s">
        <v>208</v>
      </c>
      <c r="G17" s="255"/>
      <c r="H17" s="81"/>
      <c r="I17" s="22"/>
    </row>
    <row r="18" spans="4:9" ht="15" customHeight="1">
      <c r="D18" s="77"/>
      <c r="E18" s="15"/>
      <c r="F18" s="15"/>
      <c r="G18" s="17"/>
      <c r="H18" s="78"/>
      <c r="I18" s="11"/>
    </row>
    <row r="19" spans="4:10" ht="27.75" customHeight="1">
      <c r="D19" s="79"/>
      <c r="E19" s="54" t="s">
        <v>34</v>
      </c>
      <c r="F19" s="259" t="s">
        <v>33</v>
      </c>
      <c r="G19" s="260"/>
      <c r="H19" s="82"/>
      <c r="I19" s="26"/>
      <c r="J19" s="27"/>
    </row>
    <row r="20" spans="4:9" ht="15" customHeight="1">
      <c r="D20" s="79"/>
      <c r="E20" s="20"/>
      <c r="F20" s="15"/>
      <c r="G20" s="21"/>
      <c r="H20" s="80"/>
      <c r="I20" s="22"/>
    </row>
    <row r="21" spans="4:10" ht="22.5" customHeight="1">
      <c r="D21" s="79"/>
      <c r="E21" s="256" t="str">
        <f>IF(PF="План","Плановый период","Отчетный период")</f>
        <v>Отчетный период</v>
      </c>
      <c r="F21" s="257"/>
      <c r="G21" s="258"/>
      <c r="H21" s="82"/>
      <c r="I21" s="26"/>
      <c r="J21" s="27"/>
    </row>
    <row r="22" spans="4:9" ht="27.75" customHeight="1">
      <c r="D22" s="79"/>
      <c r="E22" s="54" t="s">
        <v>8</v>
      </c>
      <c r="F22" s="259">
        <v>2014</v>
      </c>
      <c r="G22" s="260"/>
      <c r="H22" s="80"/>
      <c r="I22" s="22"/>
    </row>
    <row r="23" spans="4:10" ht="27.75" customHeight="1">
      <c r="D23" s="79"/>
      <c r="E23" s="54" t="s">
        <v>9</v>
      </c>
      <c r="F23" s="261" t="s">
        <v>8</v>
      </c>
      <c r="G23" s="262"/>
      <c r="H23" s="82"/>
      <c r="I23" s="26"/>
      <c r="J23" s="27"/>
    </row>
    <row r="24" spans="4:10" ht="15" customHeight="1">
      <c r="D24" s="79"/>
      <c r="E24" s="20"/>
      <c r="F24" s="15"/>
      <c r="G24" s="21"/>
      <c r="H24" s="82"/>
      <c r="I24" s="26"/>
      <c r="J24" s="27"/>
    </row>
    <row r="25" spans="4:10" ht="27.75" customHeight="1">
      <c r="D25" s="79"/>
      <c r="E25" s="256" t="s">
        <v>181</v>
      </c>
      <c r="F25" s="257"/>
      <c r="G25" s="258"/>
      <c r="H25" s="82"/>
      <c r="I25" s="26"/>
      <c r="J25" s="27"/>
    </row>
    <row r="26" spans="4:10" ht="27.75" customHeight="1">
      <c r="D26" s="79"/>
      <c r="E26" s="196" t="s">
        <v>180</v>
      </c>
      <c r="F26" s="259" t="s">
        <v>235</v>
      </c>
      <c r="G26" s="260"/>
      <c r="H26" s="82"/>
      <c r="I26" s="26"/>
      <c r="J26" s="27"/>
    </row>
    <row r="27" spans="4:10" ht="15" customHeight="1">
      <c r="D27" s="79"/>
      <c r="E27" s="20"/>
      <c r="F27" s="15"/>
      <c r="G27" s="21"/>
      <c r="H27" s="82"/>
      <c r="I27" s="26"/>
      <c r="J27" s="27"/>
    </row>
    <row r="28" spans="4:10" ht="22.5" customHeight="1">
      <c r="D28" s="79"/>
      <c r="E28" s="247" t="s">
        <v>10</v>
      </c>
      <c r="F28" s="248"/>
      <c r="G28" s="249"/>
      <c r="H28" s="81"/>
      <c r="I28" s="68"/>
      <c r="J28" s="68"/>
    </row>
    <row r="29" spans="1:9" ht="23.25" customHeight="1">
      <c r="A29" s="50"/>
      <c r="D29" s="77"/>
      <c r="E29" s="55" t="s">
        <v>11</v>
      </c>
      <c r="F29" s="250" t="s">
        <v>239</v>
      </c>
      <c r="G29" s="251"/>
      <c r="H29" s="81"/>
      <c r="I29" s="69"/>
    </row>
    <row r="30" spans="1:9" ht="27.75" customHeight="1" thickBot="1">
      <c r="A30" s="50"/>
      <c r="D30" s="77"/>
      <c r="E30" s="55" t="s">
        <v>12</v>
      </c>
      <c r="F30" s="241" t="s">
        <v>242</v>
      </c>
      <c r="G30" s="242"/>
      <c r="H30" s="81"/>
      <c r="I30" s="70"/>
    </row>
    <row r="31" spans="4:9" ht="15" customHeight="1">
      <c r="D31" s="79"/>
      <c r="E31" s="20"/>
      <c r="F31" s="15"/>
      <c r="G31" s="21"/>
      <c r="H31" s="81"/>
      <c r="I31" s="22"/>
    </row>
    <row r="32" spans="4:9" ht="22.5" customHeight="1">
      <c r="D32" s="79"/>
      <c r="E32" s="247" t="s">
        <v>22</v>
      </c>
      <c r="F32" s="248"/>
      <c r="G32" s="249"/>
      <c r="H32" s="81"/>
      <c r="I32" s="22"/>
    </row>
    <row r="33" spans="4:9" ht="27.75" customHeight="1">
      <c r="D33" s="79"/>
      <c r="E33" s="56" t="s">
        <v>14</v>
      </c>
      <c r="F33" s="250" t="s">
        <v>236</v>
      </c>
      <c r="G33" s="251"/>
      <c r="H33" s="81"/>
      <c r="I33" s="22"/>
    </row>
    <row r="34" spans="4:9" ht="27.75" customHeight="1" thickBot="1">
      <c r="D34" s="79"/>
      <c r="E34" s="56" t="s">
        <v>15</v>
      </c>
      <c r="F34" s="241" t="s">
        <v>241</v>
      </c>
      <c r="G34" s="242"/>
      <c r="H34" s="81"/>
      <c r="I34" s="22"/>
    </row>
    <row r="35" spans="4:9" ht="15" customHeight="1">
      <c r="D35" s="79"/>
      <c r="E35" s="20"/>
      <c r="F35" s="15"/>
      <c r="G35" s="21"/>
      <c r="H35" s="81"/>
      <c r="I35" s="22"/>
    </row>
    <row r="36" spans="1:9" ht="22.5" customHeight="1">
      <c r="A36" s="50"/>
      <c r="D36" s="77"/>
      <c r="E36" s="247" t="s">
        <v>13</v>
      </c>
      <c r="F36" s="248"/>
      <c r="G36" s="249"/>
      <c r="H36" s="81"/>
      <c r="I36" s="11"/>
    </row>
    <row r="37" spans="1:9" ht="27.75" customHeight="1">
      <c r="A37" s="50"/>
      <c r="B37" s="51"/>
      <c r="D37" s="83"/>
      <c r="E37" s="56" t="s">
        <v>14</v>
      </c>
      <c r="F37" s="243" t="s">
        <v>271</v>
      </c>
      <c r="G37" s="244"/>
      <c r="H37" s="81"/>
      <c r="I37" s="28"/>
    </row>
    <row r="38" spans="1:9" ht="27.75" customHeight="1">
      <c r="A38" s="50"/>
      <c r="B38" s="51"/>
      <c r="D38" s="83"/>
      <c r="E38" s="56" t="s">
        <v>15</v>
      </c>
      <c r="F38" s="243" t="s">
        <v>240</v>
      </c>
      <c r="G38" s="244"/>
      <c r="H38" s="81"/>
      <c r="I38" s="28"/>
    </row>
    <row r="39" spans="1:9" ht="27.75" customHeight="1">
      <c r="A39" s="50"/>
      <c r="B39" s="51"/>
      <c r="D39" s="83"/>
      <c r="E39" s="56" t="s">
        <v>16</v>
      </c>
      <c r="F39" s="243" t="s">
        <v>238</v>
      </c>
      <c r="G39" s="244"/>
      <c r="H39" s="81"/>
      <c r="I39" s="28"/>
    </row>
    <row r="40" spans="1:9" ht="27.75" customHeight="1" thickBot="1">
      <c r="A40" s="50"/>
      <c r="B40" s="51"/>
      <c r="D40" s="83"/>
      <c r="E40" s="56" t="s">
        <v>17</v>
      </c>
      <c r="F40" s="245" t="s">
        <v>272</v>
      </c>
      <c r="G40" s="246"/>
      <c r="H40" s="81"/>
      <c r="I40" s="28"/>
    </row>
    <row r="41" spans="4:9" ht="12" thickBot="1">
      <c r="D41" s="84"/>
      <c r="E41" s="85"/>
      <c r="F41" s="85"/>
      <c r="G41" s="86"/>
      <c r="H41" s="87"/>
      <c r="I41" s="11"/>
    </row>
    <row r="47" spans="7:8" ht="11.25">
      <c r="G47" s="29"/>
      <c r="H47" s="29"/>
    </row>
  </sheetData>
  <sheetProtection password="E4D4" sheet="1" scenarios="1" formatColumns="0" formatRows="0"/>
  <mergeCells count="26">
    <mergeCell ref="D7:H7"/>
    <mergeCell ref="D9:H9"/>
    <mergeCell ref="F12:G12"/>
    <mergeCell ref="F13:G13"/>
    <mergeCell ref="G4:H4"/>
    <mergeCell ref="G5:H5"/>
    <mergeCell ref="F33:G33"/>
    <mergeCell ref="F14:G14"/>
    <mergeCell ref="F16:G16"/>
    <mergeCell ref="F17:G17"/>
    <mergeCell ref="E21:G21"/>
    <mergeCell ref="F22:G22"/>
    <mergeCell ref="F23:G23"/>
    <mergeCell ref="F19:G19"/>
    <mergeCell ref="E25:G25"/>
    <mergeCell ref="F26:G26"/>
    <mergeCell ref="F34:G34"/>
    <mergeCell ref="F39:G39"/>
    <mergeCell ref="F40:G40"/>
    <mergeCell ref="E28:G28"/>
    <mergeCell ref="F29:G29"/>
    <mergeCell ref="F30:G30"/>
    <mergeCell ref="E36:G36"/>
    <mergeCell ref="F37:G37"/>
    <mergeCell ref="F38:G38"/>
    <mergeCell ref="E32:G32"/>
  </mergeCells>
  <dataValidations count="7">
    <dataValidation type="textLength" operator="lessThanOrEqual" allowBlank="1" showInputMessage="1" showErrorMessage="1" errorTitle="Ошибка" error="Допускается ввод не более 900 символов!" sqref="F37:G40 F33:G34 F29:G30">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"Да,Нет,"</formula1>
    </dataValidation>
    <dataValidation type="list" allowBlank="1" showInputMessage="1" showErrorMessage="1" sqref="F19:G19">
      <formula1>"План, Факт"</formula1>
    </dataValidation>
    <dataValidation type="list" allowBlank="1" showInputMessage="1" showErrorMessage="1" sqref="F23">
      <formula1>Квартал</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portrait" paperSize="9" scale="92" r:id="rId2"/>
  <legacyDrawing r:id="rId1"/>
</worksheet>
</file>

<file path=xl/worksheets/sheet6.xml><?xml version="1.0" encoding="utf-8"?>
<worksheet xmlns="http://schemas.openxmlformats.org/spreadsheetml/2006/main" xmlns:r="http://schemas.openxmlformats.org/officeDocument/2006/relationships">
  <sheetPr codeName="Sheet_12">
    <pageSetUpPr fitToPage="1"/>
  </sheetPr>
  <dimension ref="A1:U72"/>
  <sheetViews>
    <sheetView showGridLines="0" tabSelected="1" zoomScalePageLayoutView="0" workbookViewId="0" topLeftCell="C4">
      <selection activeCell="M19" sqref="M19"/>
    </sheetView>
  </sheetViews>
  <sheetFormatPr defaultColWidth="9.140625" defaultRowHeight="11.25"/>
  <cols>
    <col min="1" max="2" width="9.57421875" style="201" hidden="1" customWidth="1"/>
    <col min="3" max="3" width="12.8515625" style="0" customWidth="1"/>
    <col min="4" max="4" width="3.00390625" style="0" customWidth="1"/>
    <col min="5" max="5" width="7.00390625" style="95" customWidth="1"/>
    <col min="6" max="6" width="49.8515625" style="0" customWidth="1"/>
    <col min="7" max="10" width="15.7109375" style="95" customWidth="1"/>
    <col min="11" max="11" width="15.7109375" style="0" customWidth="1"/>
    <col min="12" max="12" width="5.8515625" style="0" customWidth="1"/>
    <col min="13" max="14" width="9.140625" style="0" customWidth="1"/>
    <col min="15" max="17" width="9.57421875" style="201" hidden="1" customWidth="1"/>
    <col min="18" max="21" width="9.140625" style="211" hidden="1" customWidth="1"/>
  </cols>
  <sheetData>
    <row r="1" spans="1:21" s="46" customFormat="1" ht="11.25" hidden="1">
      <c r="A1" s="212">
        <f>ID</f>
        <v>26555079</v>
      </c>
      <c r="B1" s="201"/>
      <c r="E1" s="94"/>
      <c r="G1" s="197" t="s">
        <v>182</v>
      </c>
      <c r="H1" s="197" t="s">
        <v>183</v>
      </c>
      <c r="I1" s="197" t="s">
        <v>184</v>
      </c>
      <c r="J1" s="197" t="s">
        <v>185</v>
      </c>
      <c r="K1" s="197" t="s">
        <v>186</v>
      </c>
      <c r="O1" s="201"/>
      <c r="P1" s="201"/>
      <c r="Q1" s="201"/>
      <c r="R1" s="211"/>
      <c r="S1" s="211"/>
      <c r="T1" s="211"/>
      <c r="U1" s="211"/>
    </row>
    <row r="2" spans="1:21" s="46" customFormat="1" ht="11.25" hidden="1">
      <c r="A2" s="212" t="s">
        <v>130</v>
      </c>
      <c r="B2" s="201"/>
      <c r="E2" s="94"/>
      <c r="G2" s="197" t="s">
        <v>132</v>
      </c>
      <c r="H2" s="197" t="s">
        <v>133</v>
      </c>
      <c r="I2" s="197" t="s">
        <v>187</v>
      </c>
      <c r="J2" s="197" t="s">
        <v>188</v>
      </c>
      <c r="K2" s="197" t="s">
        <v>136</v>
      </c>
      <c r="O2" s="201"/>
      <c r="P2" s="201"/>
      <c r="Q2" s="201"/>
      <c r="R2" s="211"/>
      <c r="S2" s="211"/>
      <c r="T2" s="211"/>
      <c r="U2" s="211"/>
    </row>
    <row r="3" spans="1:21" s="46" customFormat="1" ht="11.25" hidden="1">
      <c r="A3" s="201"/>
      <c r="B3" s="201"/>
      <c r="E3" s="94"/>
      <c r="G3" s="94"/>
      <c r="H3" s="94"/>
      <c r="I3" s="94"/>
      <c r="J3" s="94"/>
      <c r="L3" s="58"/>
      <c r="O3" s="201"/>
      <c r="P3" s="201"/>
      <c r="Q3" s="201"/>
      <c r="R3" s="211"/>
      <c r="S3" s="211"/>
      <c r="T3" s="211"/>
      <c r="U3" s="211"/>
    </row>
    <row r="4" spans="11:12" ht="11.25">
      <c r="K4" s="223" t="str">
        <f>FORMCODE</f>
        <v>EE.NET.BAL.4.178</v>
      </c>
      <c r="L4" s="223"/>
    </row>
    <row r="5" spans="11:12" ht="11.25">
      <c r="K5" s="223" t="str">
        <f>VERSION</f>
        <v>Версия 1.0</v>
      </c>
      <c r="L5" s="223"/>
    </row>
    <row r="6" ht="11.25">
      <c r="L6" s="90"/>
    </row>
    <row r="7" ht="16.5" customHeight="1" thickBot="1">
      <c r="L7" s="99"/>
    </row>
    <row r="8" spans="4:12" ht="22.5" customHeight="1">
      <c r="D8" s="276" t="s">
        <v>212</v>
      </c>
      <c r="E8" s="277"/>
      <c r="F8" s="277"/>
      <c r="G8" s="277"/>
      <c r="H8" s="277"/>
      <c r="I8" s="277"/>
      <c r="J8" s="277"/>
      <c r="K8" s="277"/>
      <c r="L8" s="278"/>
    </row>
    <row r="9" spans="4:12" ht="15.75" customHeight="1" thickBot="1">
      <c r="D9" s="228" t="str">
        <f>COMPANY</f>
        <v>ООО "Воздушные ворота северной столицы"</v>
      </c>
      <c r="E9" s="229"/>
      <c r="F9" s="229"/>
      <c r="G9" s="229"/>
      <c r="H9" s="229"/>
      <c r="I9" s="229"/>
      <c r="J9" s="229"/>
      <c r="K9" s="229"/>
      <c r="L9" s="230"/>
    </row>
    <row r="10" spans="4:12" ht="16.5" customHeight="1">
      <c r="D10" s="274" t="str">
        <f>IF(PF="План","на ",IF(PF="Факт","за "&amp;MONTH_PERIOD&amp;" "," "))&amp;YEAR_PERIOD&amp;" г. ("&amp;PF&amp;")"</f>
        <v>за Год 2014 г. (Факт)</v>
      </c>
      <c r="E10" s="274"/>
      <c r="F10" s="274"/>
      <c r="G10" s="274"/>
      <c r="H10" s="274"/>
      <c r="I10" s="274"/>
      <c r="J10" s="274"/>
      <c r="K10" s="274"/>
      <c r="L10" s="274"/>
    </row>
    <row r="11" spans="4:12" ht="11.25">
      <c r="D11" s="275" t="s">
        <v>150</v>
      </c>
      <c r="E11" s="275"/>
      <c r="F11" s="275"/>
      <c r="G11" s="275"/>
      <c r="H11" s="275"/>
      <c r="I11" s="275"/>
      <c r="J11" s="275"/>
      <c r="K11" s="275"/>
      <c r="L11" s="275"/>
    </row>
    <row r="12" spans="4:12" ht="15" customHeight="1" thickBot="1">
      <c r="D12" s="33"/>
      <c r="E12" s="96"/>
      <c r="F12" s="34"/>
      <c r="G12" s="96"/>
      <c r="H12" s="96"/>
      <c r="I12" s="96"/>
      <c r="J12" s="96"/>
      <c r="K12" s="34"/>
      <c r="L12" s="37"/>
    </row>
    <row r="13" spans="4:12" ht="30" customHeight="1" thickBot="1">
      <c r="D13" s="32"/>
      <c r="E13" s="108" t="s">
        <v>40</v>
      </c>
      <c r="F13" s="109" t="s">
        <v>131</v>
      </c>
      <c r="G13" s="109" t="s">
        <v>132</v>
      </c>
      <c r="H13" s="109" t="s">
        <v>133</v>
      </c>
      <c r="I13" s="109" t="s">
        <v>134</v>
      </c>
      <c r="J13" s="109" t="s">
        <v>135</v>
      </c>
      <c r="K13" s="110" t="s">
        <v>136</v>
      </c>
      <c r="L13" s="38"/>
    </row>
    <row r="14" spans="4:12" ht="15" customHeight="1" thickBot="1">
      <c r="D14" s="32"/>
      <c r="E14" s="41">
        <v>1</v>
      </c>
      <c r="F14" s="41">
        <v>2</v>
      </c>
      <c r="G14" s="41">
        <v>3</v>
      </c>
      <c r="H14" s="41">
        <v>4</v>
      </c>
      <c r="I14" s="41">
        <v>5</v>
      </c>
      <c r="J14" s="41">
        <v>6</v>
      </c>
      <c r="K14" s="41">
        <v>7</v>
      </c>
      <c r="L14" s="38"/>
    </row>
    <row r="15" spans="3:18" ht="41.25" customHeight="1">
      <c r="C15" s="140"/>
      <c r="D15" s="32"/>
      <c r="E15" s="122" t="s">
        <v>59</v>
      </c>
      <c r="F15" s="123" t="s">
        <v>148</v>
      </c>
      <c r="G15" s="155">
        <f>G35+G51</f>
        <v>54129.8266</v>
      </c>
      <c r="H15" s="155">
        <f>H30</f>
        <v>0</v>
      </c>
      <c r="I15" s="155">
        <f>I25+I30</f>
        <v>0</v>
      </c>
      <c r="J15" s="155">
        <f>J25+J30</f>
        <v>46160.22463875734</v>
      </c>
      <c r="K15" s="157">
        <f>K25+K30</f>
        <v>7969.601961242662</v>
      </c>
      <c r="L15" s="38"/>
      <c r="R15" s="211" t="s">
        <v>189</v>
      </c>
    </row>
    <row r="16" spans="3:18" ht="33.75" customHeight="1">
      <c r="C16" s="140"/>
      <c r="D16" s="32"/>
      <c r="E16" s="170" t="s">
        <v>216</v>
      </c>
      <c r="F16" s="152" t="s">
        <v>217</v>
      </c>
      <c r="G16" s="156">
        <f aca="true" t="shared" si="0" ref="G16:K17">G38+G55</f>
        <v>4527.816</v>
      </c>
      <c r="H16" s="156">
        <f t="shared" si="0"/>
        <v>0</v>
      </c>
      <c r="I16" s="156">
        <f t="shared" si="0"/>
        <v>0</v>
      </c>
      <c r="J16" s="156">
        <f t="shared" si="0"/>
        <v>2588.638</v>
      </c>
      <c r="K16" s="158">
        <f t="shared" si="0"/>
        <v>1939.178</v>
      </c>
      <c r="L16" s="38"/>
      <c r="R16" s="211" t="s">
        <v>217</v>
      </c>
    </row>
    <row r="17" spans="3:18" ht="26.25" customHeight="1">
      <c r="C17" s="140" t="s">
        <v>143</v>
      </c>
      <c r="D17" s="32"/>
      <c r="E17" s="170" t="s">
        <v>218</v>
      </c>
      <c r="F17" s="203" t="s">
        <v>149</v>
      </c>
      <c r="G17" s="156">
        <f t="shared" si="0"/>
        <v>4527.816</v>
      </c>
      <c r="H17" s="156">
        <f t="shared" si="0"/>
        <v>0</v>
      </c>
      <c r="I17" s="156">
        <f t="shared" si="0"/>
        <v>0</v>
      </c>
      <c r="J17" s="156">
        <f t="shared" si="0"/>
        <v>2588.638</v>
      </c>
      <c r="K17" s="158">
        <f t="shared" si="0"/>
        <v>1939.178</v>
      </c>
      <c r="L17" s="38"/>
      <c r="R17" s="211" t="s">
        <v>149</v>
      </c>
    </row>
    <row r="18" spans="1:21" ht="22.5">
      <c r="A18" s="201">
        <f>NOT($O$21)*1</f>
        <v>0</v>
      </c>
      <c r="B18" s="201">
        <v>1</v>
      </c>
      <c r="D18" s="32"/>
      <c r="E18" s="128" t="str">
        <f>"1.0.1."&amp;ROW()-ROW($E$18)+1&amp;"."</f>
        <v>1.0.1.1.</v>
      </c>
      <c r="F18" s="190" t="s">
        <v>47</v>
      </c>
      <c r="G18" s="156">
        <f>SUM(H18:K18)</f>
        <v>0</v>
      </c>
      <c r="H18" s="120"/>
      <c r="I18" s="120"/>
      <c r="J18" s="120">
        <v>0</v>
      </c>
      <c r="K18" s="121">
        <v>0</v>
      </c>
      <c r="L18" s="38"/>
      <c r="P18" s="201">
        <f>IF(ISERROR(INDEX(NET_ID,MATCH(F18,NET_GROUP,0))),0,INDEX(NET_ID,MATCH(F18,NET_GROUP,0)))</f>
        <v>26420583</v>
      </c>
      <c r="R18" s="211" t="s">
        <v>149</v>
      </c>
      <c r="S18" s="211" t="str">
        <f>F18</f>
        <v>ОАО "Аэропорт "Пулково"</v>
      </c>
      <c r="T18" s="211">
        <f>$T$21-2*(ROW($T$21)-ROW())</f>
        <v>40</v>
      </c>
      <c r="U18" s="211">
        <f>$U$21-2*(ROW($U$21)-ROW())</f>
        <v>57</v>
      </c>
    </row>
    <row r="19" spans="1:21" ht="22.5">
      <c r="A19" s="201">
        <f>NOT($O$21)*1</f>
        <v>0</v>
      </c>
      <c r="B19" s="201">
        <v>1</v>
      </c>
      <c r="C19" s="91" t="s">
        <v>237</v>
      </c>
      <c r="D19" s="32"/>
      <c r="E19" s="128" t="str">
        <f>"1.0.1."&amp;ROW()-ROW($E$18)+1&amp;"."</f>
        <v>1.0.1.2.</v>
      </c>
      <c r="F19" s="190" t="s">
        <v>95</v>
      </c>
      <c r="G19" s="156">
        <f>SUM(H19:K19)</f>
        <v>4527.816</v>
      </c>
      <c r="H19" s="120"/>
      <c r="I19" s="120"/>
      <c r="J19" s="120">
        <f>J42+J59</f>
        <v>2588.638</v>
      </c>
      <c r="K19" s="121">
        <f>K42+K59</f>
        <v>1939.178</v>
      </c>
      <c r="L19" s="38"/>
      <c r="P19" s="201">
        <f>IF(ISERROR(INDEX(NET_ID,MATCH(F19,NET_GROUP,0))),0,INDEX(NET_ID,MATCH(F19,NET_GROUP,0)))</f>
        <v>26424359</v>
      </c>
      <c r="R19" s="211" t="s">
        <v>149</v>
      </c>
      <c r="S19" s="211" t="str">
        <f>F19</f>
        <v>ОАО "Петербургская сбытовая компания"</v>
      </c>
      <c r="T19" s="211">
        <f>$T$21-2*(ROW($T$21)-ROW())</f>
        <v>42</v>
      </c>
      <c r="U19" s="211">
        <f>$U$21-2*(ROW($U$21)-ROW())</f>
        <v>59</v>
      </c>
    </row>
    <row r="20" spans="1:21" ht="22.5">
      <c r="A20" s="201">
        <f>NOT($O$21)*1</f>
        <v>0</v>
      </c>
      <c r="B20" s="201">
        <v>1</v>
      </c>
      <c r="C20" s="91" t="s">
        <v>237</v>
      </c>
      <c r="D20" s="32"/>
      <c r="E20" s="128" t="str">
        <f>"1.0.1."&amp;ROW()-ROW($E$18)+1&amp;"."</f>
        <v>1.0.1.3.</v>
      </c>
      <c r="F20" s="190" t="s">
        <v>179</v>
      </c>
      <c r="G20" s="156">
        <f>SUM(H20:K20)</f>
        <v>0</v>
      </c>
      <c r="H20" s="120"/>
      <c r="I20" s="120"/>
      <c r="J20" s="120">
        <v>0</v>
      </c>
      <c r="K20" s="121">
        <v>0</v>
      </c>
      <c r="L20" s="38"/>
      <c r="P20" s="201">
        <f>IF(ISERROR(INDEX(NET_ID,MATCH(F20,NET_GROUP,0))),0,INDEX(NET_ID,MATCH(F20,NET_GROUP,0)))</f>
        <v>0</v>
      </c>
      <c r="R20" s="211" t="s">
        <v>149</v>
      </c>
      <c r="S20" s="211" t="str">
        <f>F20</f>
        <v>Прочие поставщики</v>
      </c>
      <c r="T20" s="211">
        <f>$T$21-2*(ROW($T$21)-ROW())</f>
        <v>44</v>
      </c>
      <c r="U20" s="211">
        <f>$U$21-2*(ROW($U$21)-ROW())</f>
        <v>61</v>
      </c>
    </row>
    <row r="21" spans="2:21" ht="11.25">
      <c r="B21" s="201">
        <v>1</v>
      </c>
      <c r="C21" s="91"/>
      <c r="D21" s="32"/>
      <c r="E21" s="93"/>
      <c r="F21" s="191" t="s">
        <v>56</v>
      </c>
      <c r="G21" s="129"/>
      <c r="H21" s="129"/>
      <c r="I21" s="129"/>
      <c r="J21" s="129"/>
      <c r="K21" s="130"/>
      <c r="L21" s="38"/>
      <c r="O21" s="201">
        <v>1</v>
      </c>
      <c r="T21" s="211">
        <f>ROW($R$46)</f>
        <v>46</v>
      </c>
      <c r="U21" s="211">
        <f>ROW($U$63)</f>
        <v>63</v>
      </c>
    </row>
    <row r="22" spans="3:18" ht="26.25" customHeight="1">
      <c r="C22" s="140" t="s">
        <v>143</v>
      </c>
      <c r="D22" s="32"/>
      <c r="E22" s="170" t="s">
        <v>219</v>
      </c>
      <c r="F22" s="203" t="s">
        <v>220</v>
      </c>
      <c r="G22" s="156">
        <f>G47+G64</f>
        <v>0</v>
      </c>
      <c r="H22" s="156">
        <f>H47+H64</f>
        <v>0</v>
      </c>
      <c r="I22" s="156">
        <f>I47+I64</f>
        <v>0</v>
      </c>
      <c r="J22" s="156">
        <f>J47+J64</f>
        <v>0</v>
      </c>
      <c r="K22" s="158">
        <f>K47+K64</f>
        <v>0</v>
      </c>
      <c r="L22" s="38"/>
      <c r="R22" s="211" t="s">
        <v>220</v>
      </c>
    </row>
    <row r="23" spans="1:21" ht="22.5" hidden="1">
      <c r="A23" s="201">
        <f>NOT($O$24)*1</f>
        <v>1</v>
      </c>
      <c r="B23" s="201">
        <v>1</v>
      </c>
      <c r="D23" s="32"/>
      <c r="E23" s="128" t="str">
        <f>"1.0.2."&amp;ROW()-ROW($E$23)+1&amp;"."</f>
        <v>1.0.2.1.</v>
      </c>
      <c r="F23" s="190"/>
      <c r="G23" s="156">
        <f>SUM(H23:K23)</f>
        <v>0</v>
      </c>
      <c r="H23" s="120"/>
      <c r="I23" s="120"/>
      <c r="J23" s="120"/>
      <c r="K23" s="121"/>
      <c r="L23" s="38"/>
      <c r="P23" s="201">
        <f>IF(ISERROR(INDEX(NET_ID,MATCH(F23,NET_GROUP,0))),0,INDEX(NET_ID,MATCH(F23,NET_GROUP,0)))</f>
        <v>0</v>
      </c>
      <c r="R23" s="211" t="s">
        <v>220</v>
      </c>
      <c r="S23" s="211">
        <f>F23</f>
        <v>0</v>
      </c>
      <c r="T23" s="211">
        <f>$T$24-2*(ROW($T$24)-ROW())</f>
        <v>48</v>
      </c>
      <c r="U23" s="211">
        <f>$U$24-(ROW($U$24)-ROW())</f>
        <v>65</v>
      </c>
    </row>
    <row r="24" spans="2:21" ht="11.25">
      <c r="B24" s="201">
        <v>1</v>
      </c>
      <c r="C24" s="91"/>
      <c r="D24" s="32"/>
      <c r="E24" s="93"/>
      <c r="F24" s="191" t="s">
        <v>56</v>
      </c>
      <c r="G24" s="129"/>
      <c r="H24" s="129"/>
      <c r="I24" s="129"/>
      <c r="J24" s="129"/>
      <c r="K24" s="130"/>
      <c r="L24" s="38"/>
      <c r="O24" s="201">
        <v>0</v>
      </c>
      <c r="T24" s="211">
        <f>ROW($R$50)</f>
        <v>50</v>
      </c>
      <c r="U24" s="211">
        <f>ROW($S$66)</f>
        <v>66</v>
      </c>
    </row>
    <row r="25" spans="4:18" ht="33.75" customHeight="1">
      <c r="D25" s="32"/>
      <c r="E25" s="124" t="s">
        <v>66</v>
      </c>
      <c r="F25" s="125" t="s">
        <v>140</v>
      </c>
      <c r="G25" s="116">
        <f>SUM(H25:K25)</f>
        <v>0</v>
      </c>
      <c r="H25" s="119"/>
      <c r="I25" s="116">
        <f>I27</f>
        <v>0</v>
      </c>
      <c r="J25" s="116">
        <f>J27+J28</f>
        <v>0</v>
      </c>
      <c r="K25" s="117">
        <f>K29</f>
        <v>0</v>
      </c>
      <c r="L25" s="38"/>
      <c r="R25" s="211" t="s">
        <v>190</v>
      </c>
    </row>
    <row r="26" spans="4:18" ht="15" customHeight="1">
      <c r="D26" s="32"/>
      <c r="E26" s="124"/>
      <c r="F26" s="126" t="s">
        <v>141</v>
      </c>
      <c r="G26" s="119"/>
      <c r="H26" s="119"/>
      <c r="I26" s="161"/>
      <c r="J26" s="161"/>
      <c r="K26" s="162"/>
      <c r="L26" s="38"/>
      <c r="R26" s="211" t="s">
        <v>191</v>
      </c>
    </row>
    <row r="27" spans="4:19" ht="26.25" customHeight="1">
      <c r="D27" s="32"/>
      <c r="E27" s="124" t="s">
        <v>151</v>
      </c>
      <c r="F27" s="127" t="s">
        <v>133</v>
      </c>
      <c r="G27" s="116">
        <f aca="true" t="shared" si="1" ref="G27:G32">SUM(H27:K27)</f>
        <v>0</v>
      </c>
      <c r="H27" s="114"/>
      <c r="I27" s="120"/>
      <c r="J27" s="120"/>
      <c r="K27" s="118"/>
      <c r="L27" s="38"/>
      <c r="R27" s="211" t="s">
        <v>191</v>
      </c>
      <c r="S27" s="211" t="s">
        <v>133</v>
      </c>
    </row>
    <row r="28" spans="4:19" ht="26.25" customHeight="1">
      <c r="D28" s="32"/>
      <c r="E28" s="124" t="s">
        <v>152</v>
      </c>
      <c r="F28" s="127" t="s">
        <v>134</v>
      </c>
      <c r="G28" s="116">
        <f t="shared" si="1"/>
        <v>0</v>
      </c>
      <c r="H28" s="119"/>
      <c r="I28" s="114"/>
      <c r="J28" s="120"/>
      <c r="K28" s="118"/>
      <c r="L28" s="38"/>
      <c r="R28" s="211" t="s">
        <v>191</v>
      </c>
      <c r="S28" s="211" t="s">
        <v>134</v>
      </c>
    </row>
    <row r="29" spans="4:19" ht="26.25" customHeight="1">
      <c r="D29" s="32"/>
      <c r="E29" s="124" t="s">
        <v>153</v>
      </c>
      <c r="F29" s="127" t="s">
        <v>135</v>
      </c>
      <c r="G29" s="116">
        <f t="shared" si="1"/>
        <v>0</v>
      </c>
      <c r="H29" s="119"/>
      <c r="I29" s="119"/>
      <c r="J29" s="114"/>
      <c r="K29" s="121"/>
      <c r="L29" s="38"/>
      <c r="R29" s="211" t="s">
        <v>191</v>
      </c>
      <c r="S29" s="211" t="s">
        <v>135</v>
      </c>
    </row>
    <row r="30" spans="3:18" ht="33.75" customHeight="1">
      <c r="C30" s="140" t="s">
        <v>143</v>
      </c>
      <c r="D30" s="32"/>
      <c r="E30" s="124" t="s">
        <v>142</v>
      </c>
      <c r="F30" s="125" t="s">
        <v>154</v>
      </c>
      <c r="G30" s="116">
        <f t="shared" si="1"/>
        <v>54129.8266</v>
      </c>
      <c r="H30" s="116">
        <f>SUM(H31:H34)</f>
        <v>0</v>
      </c>
      <c r="I30" s="116">
        <f>SUM(I31:I34)</f>
        <v>0</v>
      </c>
      <c r="J30" s="116">
        <f>SUM(J31:J34)</f>
        <v>46160.22463875734</v>
      </c>
      <c r="K30" s="154">
        <f>SUM(K31:K34)</f>
        <v>7969.601961242662</v>
      </c>
      <c r="L30" s="38"/>
      <c r="R30" s="211" t="s">
        <v>192</v>
      </c>
    </row>
    <row r="31" spans="1:19" ht="11.25">
      <c r="A31" s="201">
        <f>NOT($O$34)*1</f>
        <v>0</v>
      </c>
      <c r="B31" s="201">
        <v>1</v>
      </c>
      <c r="D31" s="32"/>
      <c r="E31" s="128" t="str">
        <f>"1.2."&amp;ROW()-ROW($E$31)+1&amp;"."</f>
        <v>1.2.1.</v>
      </c>
      <c r="F31" s="115" t="s">
        <v>47</v>
      </c>
      <c r="G31" s="116">
        <f t="shared" si="1"/>
        <v>5239.824000000004</v>
      </c>
      <c r="H31" s="120"/>
      <c r="I31" s="120"/>
      <c r="J31" s="219">
        <f>4755978.87379128/1000</f>
        <v>4755.97887379128</v>
      </c>
      <c r="K31" s="219">
        <f>483845.126208724/1000</f>
        <v>483.84512620872397</v>
      </c>
      <c r="L31" s="38"/>
      <c r="P31" s="201">
        <f>IF(ISERROR(INDEX(NET_ID,MATCH(F31,NET_GROUP,0))),0,INDEX(NET_ID,MATCH(F31,NET_GROUP,0)))</f>
        <v>26420583</v>
      </c>
      <c r="R31" s="211" t="s">
        <v>192</v>
      </c>
      <c r="S31" s="211" t="str">
        <f>F31</f>
        <v>ОАО "Аэропорт "Пулково"</v>
      </c>
    </row>
    <row r="32" spans="1:19" ht="11.25">
      <c r="A32" s="201">
        <f>NOT($O$34)*1</f>
        <v>0</v>
      </c>
      <c r="B32" s="201">
        <v>1</v>
      </c>
      <c r="C32" s="91" t="s">
        <v>237</v>
      </c>
      <c r="D32" s="32"/>
      <c r="E32" s="128" t="str">
        <f>"1.2."&amp;ROW()-ROW($E$31)+1&amp;"."</f>
        <v>1.2.2.</v>
      </c>
      <c r="F32" s="115" t="s">
        <v>95</v>
      </c>
      <c r="G32" s="116">
        <f t="shared" si="1"/>
        <v>40874.03059999999</v>
      </c>
      <c r="H32" s="120"/>
      <c r="I32" s="120"/>
      <c r="J32" s="219">
        <f>33566213.2011779/1000</f>
        <v>33566.2132011779</v>
      </c>
      <c r="K32" s="219">
        <f>7307817.39882209/1000</f>
        <v>7307.81739882209</v>
      </c>
      <c r="L32" s="38"/>
      <c r="P32" s="201">
        <f>IF(ISERROR(INDEX(NET_ID,MATCH(F32,NET_GROUP,0))),0,INDEX(NET_ID,MATCH(F32,NET_GROUP,0)))</f>
        <v>26424359</v>
      </c>
      <c r="R32" s="211" t="s">
        <v>192</v>
      </c>
      <c r="S32" s="211" t="str">
        <f>F32</f>
        <v>ОАО "Петербургская сбытовая компания"</v>
      </c>
    </row>
    <row r="33" spans="1:19" ht="11.25">
      <c r="A33" s="201">
        <f>NOT($O$34)*1</f>
        <v>0</v>
      </c>
      <c r="B33" s="201">
        <v>1</v>
      </c>
      <c r="C33" s="91" t="s">
        <v>237</v>
      </c>
      <c r="D33" s="32"/>
      <c r="E33" s="128" t="str">
        <f>"1.2."&amp;ROW()-ROW($E$31)+1&amp;"."</f>
        <v>1.2.3.</v>
      </c>
      <c r="F33" s="115" t="s">
        <v>179</v>
      </c>
      <c r="G33" s="116">
        <f>SUM(H33:K33)</f>
        <v>8015.971999999999</v>
      </c>
      <c r="H33" s="120"/>
      <c r="I33" s="120"/>
      <c r="J33" s="219">
        <f>7838032.56378815/1000</f>
        <v>7838.032563788151</v>
      </c>
      <c r="K33" s="219">
        <f>177939.436211848/1000</f>
        <v>177.939436211848</v>
      </c>
      <c r="L33" s="38"/>
      <c r="P33" s="201">
        <f>IF(ISERROR(INDEX(NET_ID,MATCH(F33,NET_GROUP,0))),0,INDEX(NET_ID,MATCH(F33,NET_GROUP,0)))</f>
        <v>0</v>
      </c>
      <c r="R33" s="211" t="s">
        <v>192</v>
      </c>
      <c r="S33" s="211" t="str">
        <f>F33</f>
        <v>Прочие поставщики</v>
      </c>
    </row>
    <row r="34" spans="2:15" ht="11.25">
      <c r="B34" s="201">
        <v>1</v>
      </c>
      <c r="C34" s="91"/>
      <c r="D34" s="32"/>
      <c r="E34" s="93"/>
      <c r="F34" s="134" t="s">
        <v>56</v>
      </c>
      <c r="G34" s="129"/>
      <c r="H34" s="129"/>
      <c r="I34" s="129"/>
      <c r="J34" s="129"/>
      <c r="K34" s="130"/>
      <c r="L34" s="38"/>
      <c r="O34" s="201">
        <v>1</v>
      </c>
    </row>
    <row r="35" spans="4:18" ht="41.25" customHeight="1">
      <c r="D35" s="32"/>
      <c r="E35" s="138" t="s">
        <v>60</v>
      </c>
      <c r="F35" s="153" t="s">
        <v>155</v>
      </c>
      <c r="G35" s="132">
        <f>SUM(H35:K35)</f>
        <v>1713.3906173927348</v>
      </c>
      <c r="H35" s="168">
        <f>H37+H38</f>
        <v>0</v>
      </c>
      <c r="I35" s="168">
        <f>I37+I38</f>
        <v>0</v>
      </c>
      <c r="J35" s="221">
        <f>J37+J40+J42+J44</f>
        <v>1444.8150312987955</v>
      </c>
      <c r="K35" s="221">
        <f>K37+K40+K42+K44</f>
        <v>268.5755860939394</v>
      </c>
      <c r="L35" s="38"/>
      <c r="R35" s="211" t="s">
        <v>193</v>
      </c>
    </row>
    <row r="36" spans="3:18" ht="15" customHeight="1">
      <c r="C36" s="140"/>
      <c r="D36" s="32"/>
      <c r="E36" s="124"/>
      <c r="F36" s="166" t="s">
        <v>156</v>
      </c>
      <c r="G36" s="159">
        <f>IF(G15=0,0,G35/G15*100)</f>
        <v>3.1653354998789798</v>
      </c>
      <c r="H36" s="159">
        <f>IF(H15=0,0,H35/H15*100)</f>
        <v>0</v>
      </c>
      <c r="I36" s="159">
        <f>IF(I15=0,0,I35/I15*100)</f>
        <v>0</v>
      </c>
      <c r="J36" s="159">
        <f>IF(J15=0,0,J35/J15*100)</f>
        <v>3.1300000002289647</v>
      </c>
      <c r="K36" s="160">
        <f>IF(K15=0,0,K35/K15*100)</f>
        <v>3.3700000000007746</v>
      </c>
      <c r="L36" s="38"/>
      <c r="R36" s="211" t="s">
        <v>194</v>
      </c>
    </row>
    <row r="37" spans="3:18" ht="33.75" customHeight="1">
      <c r="C37" s="140"/>
      <c r="D37" s="32"/>
      <c r="E37" s="124" t="s">
        <v>159</v>
      </c>
      <c r="F37" s="166" t="s">
        <v>157</v>
      </c>
      <c r="G37" s="116">
        <f>SUM(H37:K37)</f>
        <v>1528.738217392735</v>
      </c>
      <c r="H37" s="120"/>
      <c r="I37" s="120"/>
      <c r="J37" s="219">
        <v>1339.5120312987956</v>
      </c>
      <c r="K37" s="220">
        <v>189.22618609393942</v>
      </c>
      <c r="L37" s="38"/>
      <c r="R37" s="211" t="s">
        <v>157</v>
      </c>
    </row>
    <row r="38" spans="3:18" ht="33.75" customHeight="1">
      <c r="C38" s="140" t="s">
        <v>143</v>
      </c>
      <c r="D38" s="32"/>
      <c r="E38" s="124" t="s">
        <v>160</v>
      </c>
      <c r="F38" s="166" t="s">
        <v>158</v>
      </c>
      <c r="G38" s="116">
        <f>G39+G47</f>
        <v>184.6524</v>
      </c>
      <c r="H38" s="116">
        <f>H39+H47</f>
        <v>0</v>
      </c>
      <c r="I38" s="116">
        <f>I39+I47</f>
        <v>0</v>
      </c>
      <c r="J38" s="116">
        <f>J39+J47</f>
        <v>105.303</v>
      </c>
      <c r="K38" s="154">
        <f>K39+K47</f>
        <v>79.34939999999999</v>
      </c>
      <c r="L38" s="38"/>
      <c r="R38" s="211" t="s">
        <v>158</v>
      </c>
    </row>
    <row r="39" spans="3:18" ht="26.25" customHeight="1">
      <c r="C39" s="140"/>
      <c r="D39" s="32"/>
      <c r="E39" s="124" t="s">
        <v>221</v>
      </c>
      <c r="F39" s="186" t="s">
        <v>222</v>
      </c>
      <c r="G39" s="116">
        <f>SUM(H39:K39)</f>
        <v>184.6524</v>
      </c>
      <c r="H39" s="116">
        <f>SUMIF($R40:$R46,"="&amp;$R$39,H40:H46)</f>
        <v>0</v>
      </c>
      <c r="I39" s="116">
        <f>SUMIF($R40:$R46,"="&amp;$R$39,I40:I46)</f>
        <v>0</v>
      </c>
      <c r="J39" s="116">
        <f>SUMIF($R40:$R46,"="&amp;$R$39,J40:J46)</f>
        <v>105.303</v>
      </c>
      <c r="K39" s="206">
        <f>SUMIF($R40:$R46,"="&amp;$R$39,K40:K46)</f>
        <v>79.34939999999999</v>
      </c>
      <c r="L39" s="38"/>
      <c r="R39" s="211" t="s">
        <v>222</v>
      </c>
    </row>
    <row r="40" spans="1:19" ht="11.25">
      <c r="A40" s="201">
        <f>NOT($O$46)*1</f>
        <v>0</v>
      </c>
      <c r="B40" s="201">
        <v>2</v>
      </c>
      <c r="D40" s="32"/>
      <c r="E40" s="271" t="str">
        <f>"2.2.1."&amp;(ROW()-ROW($E$40))/2+1&amp;"."</f>
        <v>2.2.1.1.</v>
      </c>
      <c r="F40" s="208" t="str">
        <f>F18</f>
        <v>ОАО "Аэропорт "Пулково"</v>
      </c>
      <c r="G40" s="116">
        <f>SUM(H40:K40)</f>
        <v>0</v>
      </c>
      <c r="H40" s="120"/>
      <c r="I40" s="120"/>
      <c r="J40" s="213">
        <v>0</v>
      </c>
      <c r="K40" s="214">
        <v>0</v>
      </c>
      <c r="L40" s="38"/>
      <c r="P40" s="201">
        <f>IF(ISERROR(INDEX(NET_ID,MATCH(F40,NET_GROUP,0))),0,INDEX(NET_ID,MATCH(F40,NET_GROUP,0)))</f>
        <v>26420583</v>
      </c>
      <c r="R40" s="211" t="s">
        <v>222</v>
      </c>
      <c r="S40" s="211" t="str">
        <f>F40</f>
        <v>ОАО "Аэропорт "Пулково"</v>
      </c>
    </row>
    <row r="41" spans="4:19" ht="11.25">
      <c r="D41" s="32"/>
      <c r="E41" s="271"/>
      <c r="F41" s="205" t="s">
        <v>223</v>
      </c>
      <c r="G41" s="159">
        <f>IF(ISERROR(G40/INDEX(G$18:G$21,MATCH($F40,$F$18:$F$21,0))),0,G40/INDEX(G$18:G$21,MATCH($F40,$F$18:$F$21,0))*100)</f>
        <v>0</v>
      </c>
      <c r="H41" s="159">
        <f>IF(ISERROR(H40/INDEX(H$18:H$21,MATCH($F40,$F$18:$F$21,0))),0,H40/INDEX(H$18:H$21,MATCH($F40,$F$18:$F$21,0))*100)</f>
        <v>0</v>
      </c>
      <c r="I41" s="159">
        <f>IF(ISERROR(I40/INDEX(I$18:I$21,MATCH($F40,$F$18:$F$21,0))),0,I40/INDEX(I$18:I$21,MATCH($F40,$F$18:$F$21,0))*100)</f>
        <v>0</v>
      </c>
      <c r="J41" s="159">
        <f>IF(ISERROR(J40/INDEX(J$18:J$21,MATCH($F40,$F$18:$F$21,0))),0,J40/INDEX(J$18:J$21,MATCH($F40,$F$18:$F$21,0))*100)</f>
        <v>0</v>
      </c>
      <c r="K41" s="209">
        <f>IF(ISERROR(K40/INDEX(K$18:K$21,MATCH($F40,$F$18:$F$21,0))),0,K40/INDEX(K$18:K$21,MATCH($F40,$F$18:$F$21,0))*100)</f>
        <v>0</v>
      </c>
      <c r="L41" s="38"/>
      <c r="P41" s="201">
        <f>IF(ISERROR(INDEX(NET_ID,MATCH(F40,NET_GROUP,0))),0,INDEX(NET_ID,MATCH(F40,NET_GROUP,0)))</f>
        <v>26420583</v>
      </c>
      <c r="R41" s="211" t="s">
        <v>228</v>
      </c>
      <c r="S41" s="211" t="str">
        <f>F40</f>
        <v>ОАО "Аэропорт "Пулково"</v>
      </c>
    </row>
    <row r="42" spans="1:19" ht="11.25">
      <c r="A42" s="201">
        <f>NOT($O$46)*1</f>
        <v>0</v>
      </c>
      <c r="B42" s="201">
        <v>2</v>
      </c>
      <c r="D42" s="32"/>
      <c r="E42" s="271" t="str">
        <f>"2.2.1."&amp;(ROW()-ROW($E$40))/2+1&amp;"."</f>
        <v>2.2.1.2.</v>
      </c>
      <c r="F42" s="208" t="str">
        <f>$F$19</f>
        <v>ОАО "Петербургская сбытовая компания"</v>
      </c>
      <c r="G42" s="116">
        <f>SUM(H42:K42)</f>
        <v>184.6524</v>
      </c>
      <c r="H42" s="120"/>
      <c r="I42" s="120"/>
      <c r="J42" s="218">
        <f>105303/1000</f>
        <v>105.303</v>
      </c>
      <c r="K42" s="217">
        <f>79349.4/1000</f>
        <v>79.34939999999999</v>
      </c>
      <c r="L42" s="38"/>
      <c r="P42" s="201">
        <f>IF(ISERROR(INDEX(NET_ID,MATCH(F42,NET_GROUP,0))),0,INDEX(NET_ID,MATCH(F42,NET_GROUP,0)))</f>
        <v>26424359</v>
      </c>
      <c r="R42" s="211" t="s">
        <v>222</v>
      </c>
      <c r="S42" s="211" t="str">
        <f>F42</f>
        <v>ОАО "Петербургская сбытовая компания"</v>
      </c>
    </row>
    <row r="43" spans="4:19" ht="11.25">
      <c r="D43" s="32"/>
      <c r="E43" s="271"/>
      <c r="F43" s="205" t="s">
        <v>223</v>
      </c>
      <c r="G43" s="159">
        <f>IF(ISERROR(G42/INDEX(G$18:G$21,MATCH($F42,$F$18:$F$21,0))),0,G42/INDEX(G$18:G$21,MATCH($F42,$F$18:$F$21,0))*100)</f>
        <v>4.078178088508897</v>
      </c>
      <c r="H43" s="159">
        <f>IF(ISERROR(H42/INDEX(H$18:H$21,MATCH($F42,$F$18:$F$21,0))),0,H42/INDEX(H$18:H$21,MATCH($F42,$F$18:$F$21,0))*100)</f>
        <v>0</v>
      </c>
      <c r="I43" s="159">
        <f>IF(ISERROR(I42/INDEX(I$18:I$21,MATCH($F42,$F$18:$F$21,0))),0,I42/INDEX(I$18:I$21,MATCH($F42,$F$18:$F$21,0))*100)</f>
        <v>0</v>
      </c>
      <c r="J43" s="159">
        <f>IF(ISERROR(J42/INDEX(J$18:J$21,MATCH($F42,$F$18:$F$21,0))),0,J42/INDEX(J$18:J$21,MATCH($F42,$F$18:$F$21,0))*100)</f>
        <v>4.067892072974282</v>
      </c>
      <c r="K43" s="209">
        <f>IF(ISERROR(K42/INDEX(K$18:K$21,MATCH($F42,$F$18:$F$21,0))),0,K42/INDEX(K$18:K$21,MATCH($F42,$F$18:$F$21,0))*100)</f>
        <v>4.0919090459978396</v>
      </c>
      <c r="L43" s="38"/>
      <c r="P43" s="201">
        <f>IF(ISERROR(INDEX(NET_ID,MATCH(F42,NET_GROUP,0))),0,INDEX(NET_ID,MATCH(F42,NET_GROUP,0)))</f>
        <v>26424359</v>
      </c>
      <c r="R43" s="211" t="s">
        <v>228</v>
      </c>
      <c r="S43" s="211" t="str">
        <f>F42</f>
        <v>ОАО "Петербургская сбытовая компания"</v>
      </c>
    </row>
    <row r="44" spans="1:19" ht="11.25">
      <c r="A44" s="201">
        <f>NOT($O$46)*1</f>
        <v>0</v>
      </c>
      <c r="B44" s="201">
        <v>2</v>
      </c>
      <c r="D44" s="32"/>
      <c r="E44" s="271" t="str">
        <f>"2.2.1."&amp;(ROW()-ROW($E$40))/2+1&amp;"."</f>
        <v>2.2.1.3.</v>
      </c>
      <c r="F44" s="208" t="str">
        <f>$F$20</f>
        <v>Прочие поставщики</v>
      </c>
      <c r="G44" s="116">
        <f>SUM(H44:K44)</f>
        <v>0</v>
      </c>
      <c r="H44" s="120"/>
      <c r="I44" s="120"/>
      <c r="J44" s="213">
        <v>0</v>
      </c>
      <c r="K44" s="214">
        <v>0</v>
      </c>
      <c r="L44" s="38"/>
      <c r="P44" s="201">
        <f>IF(ISERROR(INDEX(NET_ID,MATCH(F44,NET_GROUP,0))),0,INDEX(NET_ID,MATCH(F44,NET_GROUP,0)))</f>
        <v>0</v>
      </c>
      <c r="R44" s="211" t="s">
        <v>222</v>
      </c>
      <c r="S44" s="211" t="str">
        <f>F44</f>
        <v>Прочие поставщики</v>
      </c>
    </row>
    <row r="45" spans="4:19" ht="11.25">
      <c r="D45" s="32"/>
      <c r="E45" s="271"/>
      <c r="F45" s="205" t="s">
        <v>223</v>
      </c>
      <c r="G45" s="159">
        <f>IF(ISERROR(G44/INDEX(G$18:G$21,MATCH($F44,$F$18:$F$21,0))),0,G44/INDEX(G$18:G$21,MATCH($F44,$F$18:$F$21,0))*100)</f>
        <v>0</v>
      </c>
      <c r="H45" s="159">
        <f>IF(ISERROR(H44/INDEX(H$18:H$21,MATCH($F44,$F$18:$F$21,0))),0,H44/INDEX(H$18:H$21,MATCH($F44,$F$18:$F$21,0))*100)</f>
        <v>0</v>
      </c>
      <c r="I45" s="159">
        <f>IF(ISERROR(I44/INDEX(I$18:I$21,MATCH($F44,$F$18:$F$21,0))),0,I44/INDEX(I$18:I$21,MATCH($F44,$F$18:$F$21,0))*100)</f>
        <v>0</v>
      </c>
      <c r="J45" s="159">
        <f>IF(ISERROR(J44/INDEX(J$18:J$21,MATCH($F44,$F$18:$F$21,0))),0,J44/INDEX(J$18:J$21,MATCH($F44,$F$18:$F$21,0))*100)</f>
        <v>0</v>
      </c>
      <c r="K45" s="209">
        <f>IF(ISERROR(K44/INDEX(K$18:K$21,MATCH($F44,$F$18:$F$21,0))),0,K44/INDEX(K$18:K$21,MATCH($F44,$F$18:$F$21,0))*100)</f>
        <v>0</v>
      </c>
      <c r="L45" s="38"/>
      <c r="P45" s="201">
        <f>IF(ISERROR(INDEX(NET_ID,MATCH(F44,NET_GROUP,0))),0,INDEX(NET_ID,MATCH(F44,NET_GROUP,0)))</f>
        <v>0</v>
      </c>
      <c r="R45" s="211" t="s">
        <v>228</v>
      </c>
      <c r="S45" s="211" t="str">
        <f>F44</f>
        <v>Прочие поставщики</v>
      </c>
    </row>
    <row r="46" spans="2:15" ht="11.25">
      <c r="B46" s="201">
        <v>2</v>
      </c>
      <c r="D46" s="32"/>
      <c r="E46" s="93"/>
      <c r="F46" s="134"/>
      <c r="G46" s="129"/>
      <c r="H46" s="129"/>
      <c r="I46" s="129"/>
      <c r="J46" s="129"/>
      <c r="K46" s="130"/>
      <c r="L46" s="38"/>
      <c r="O46" s="201">
        <v>1</v>
      </c>
    </row>
    <row r="47" spans="3:18" ht="26.25" customHeight="1">
      <c r="C47" s="140"/>
      <c r="D47" s="32"/>
      <c r="E47" s="124" t="s">
        <v>224</v>
      </c>
      <c r="F47" s="186" t="s">
        <v>225</v>
      </c>
      <c r="G47" s="116">
        <f>SUM(H47:K47)</f>
        <v>0</v>
      </c>
      <c r="H47" s="116">
        <f>SUMIF($Q48:$Q50,"="&amp;$Q$47,H48:H50)</f>
        <v>0</v>
      </c>
      <c r="I47" s="116">
        <f>SUMIF($Q48:$Q50,"="&amp;$Q$47,I48:I50)</f>
        <v>0</v>
      </c>
      <c r="J47" s="116">
        <f>SUMIF($Q48:$Q50,"="&amp;$Q$47,J48:J50)</f>
        <v>0</v>
      </c>
      <c r="K47" s="206">
        <f>SUMIF($Q48:$Q50,"="&amp;$Q$47,K48:K50)</f>
        <v>0</v>
      </c>
      <c r="L47" s="38"/>
      <c r="Q47" s="201">
        <v>5</v>
      </c>
      <c r="R47" s="211" t="s">
        <v>225</v>
      </c>
    </row>
    <row r="48" spans="1:19" ht="11.25" hidden="1">
      <c r="A48" s="201">
        <f>NOT($O$50)*1</f>
        <v>1</v>
      </c>
      <c r="B48" s="201">
        <v>2</v>
      </c>
      <c r="D48" s="32"/>
      <c r="E48" s="271" t="str">
        <f>"2.2.2."&amp;(ROW()-ROW($E$48))/2+1&amp;"."</f>
        <v>2.2.2.1.</v>
      </c>
      <c r="F48" s="208">
        <f>F23</f>
        <v>0</v>
      </c>
      <c r="G48" s="116">
        <f>SUM(H48:K48)</f>
        <v>0</v>
      </c>
      <c r="H48" s="120"/>
      <c r="I48" s="120"/>
      <c r="J48" s="120"/>
      <c r="K48" s="121"/>
      <c r="L48" s="38"/>
      <c r="P48" s="201">
        <f>IF(ISERROR(INDEX(NET_ID,MATCH(F48,NET_GROUP,0))),0,INDEX(NET_ID,MATCH(F48,NET_GROUP,0)))</f>
        <v>0</v>
      </c>
      <c r="Q48" s="201">
        <v>5</v>
      </c>
      <c r="R48" s="211" t="s">
        <v>225</v>
      </c>
      <c r="S48" s="211">
        <f>F48</f>
        <v>0</v>
      </c>
    </row>
    <row r="49" spans="1:19" ht="11.25" hidden="1">
      <c r="A49" s="201">
        <f>NOT($O$50)*1</f>
        <v>1</v>
      </c>
      <c r="D49" s="32"/>
      <c r="E49" s="271"/>
      <c r="F49" s="205" t="s">
        <v>223</v>
      </c>
      <c r="G49" s="159">
        <f>IF(ISERROR(G48/INDEX(G$23:G$24,MATCH($F48,$F$23:$F$24,0))),0,G48/INDEX(G$23:G$24,MATCH($F48,$F$23:$F$24,0))*100)</f>
        <v>0</v>
      </c>
      <c r="H49" s="116">
        <f>IF(ISERROR(H48/INDEX(H$23:H$24,MATCH($F48,$F$23:$F$24,0))),0,H48/INDEX(H$23:H$24,MATCH($F48,$F$23:$F$24,0))*100)</f>
        <v>0</v>
      </c>
      <c r="I49" s="116">
        <f>IF(ISERROR(I48/INDEX(I$23:I$24,MATCH($F48,$F$23:$F$24,0))),0,I48/INDEX(I$23:I$24,MATCH($F48,$F$23:$F$24,0))*100)</f>
        <v>0</v>
      </c>
      <c r="J49" s="116">
        <f>IF(ISERROR(J48/INDEX(J$23:J$24,MATCH($F48,$F$23:$F$24,0))),0,J48/INDEX(J$23:J$24,MATCH($F48,$F$23:$F$24,0))*100)</f>
        <v>0</v>
      </c>
      <c r="K49" s="154">
        <f>IF(ISERROR(K48/INDEX(K$23:K$24,MATCH($F48,$F$23:$F$24,0))),0,K48/INDEX(K$23:K$24,MATCH($F48,$F$23:$F$24,0))*100)</f>
        <v>0</v>
      </c>
      <c r="L49" s="38"/>
      <c r="P49" s="201">
        <f>IF(ISERROR(INDEX(NET_ID,MATCH(F48,NET_GROUP,0))),0,INDEX(NET_ID,MATCH(F48,NET_GROUP,0)))</f>
        <v>0</v>
      </c>
      <c r="R49" s="211" t="s">
        <v>227</v>
      </c>
      <c r="S49" s="211">
        <f>F48</f>
        <v>0</v>
      </c>
    </row>
    <row r="50" spans="2:15" ht="11.25">
      <c r="B50" s="201">
        <v>2</v>
      </c>
      <c r="D50" s="32"/>
      <c r="E50" s="93"/>
      <c r="F50" s="134"/>
      <c r="G50" s="129"/>
      <c r="H50" s="129"/>
      <c r="I50" s="129"/>
      <c r="J50" s="129"/>
      <c r="K50" s="130"/>
      <c r="L50" s="38"/>
      <c r="O50" s="201">
        <v>0</v>
      </c>
    </row>
    <row r="51" spans="4:18" ht="41.25" customHeight="1">
      <c r="D51" s="32"/>
      <c r="E51" s="138" t="s">
        <v>61</v>
      </c>
      <c r="F51" s="131" t="s">
        <v>163</v>
      </c>
      <c r="G51" s="132">
        <f>G52+G55</f>
        <v>52416.43598260727</v>
      </c>
      <c r="H51" s="132">
        <f>H52+H55</f>
        <v>0</v>
      </c>
      <c r="I51" s="132">
        <f>I52+I55</f>
        <v>0</v>
      </c>
      <c r="J51" s="132">
        <f>J52+J55</f>
        <v>44715.40960745855</v>
      </c>
      <c r="K51" s="133">
        <f>K52+K55</f>
        <v>7701.026375148722</v>
      </c>
      <c r="L51" s="38"/>
      <c r="R51" s="211" t="s">
        <v>163</v>
      </c>
    </row>
    <row r="52" spans="3:18" ht="33.75" customHeight="1">
      <c r="C52" s="140" t="s">
        <v>143</v>
      </c>
      <c r="D52" s="32"/>
      <c r="E52" s="124" t="s">
        <v>64</v>
      </c>
      <c r="F52" s="125" t="s">
        <v>161</v>
      </c>
      <c r="G52" s="116">
        <f>SUM(H52:K52)</f>
        <v>48073.27238260727</v>
      </c>
      <c r="H52" s="116">
        <f>SUM(H53:H54)</f>
        <v>0</v>
      </c>
      <c r="I52" s="116">
        <f>SUM(I53:I54)</f>
        <v>0</v>
      </c>
      <c r="J52" s="116">
        <f>SUM(J53:J54)</f>
        <v>42232.07460745855</v>
      </c>
      <c r="K52" s="154">
        <f>SUM(K53:K54)</f>
        <v>5841.197775148722</v>
      </c>
      <c r="L52" s="38"/>
      <c r="R52" s="211" t="s">
        <v>195</v>
      </c>
    </row>
    <row r="53" spans="1:19" ht="11.25">
      <c r="A53" s="201">
        <f>NOT($O$63)*1</f>
        <v>0</v>
      </c>
      <c r="B53" s="201">
        <v>1</v>
      </c>
      <c r="D53" s="32"/>
      <c r="E53" s="167" t="str">
        <f>"3.1."&amp;ROW()-ROW($E$53)+1&amp;"."</f>
        <v>3.1.1.</v>
      </c>
      <c r="F53" s="164" t="s">
        <v>44</v>
      </c>
      <c r="G53" s="163">
        <f>SUM(H53:K53)</f>
        <v>48073.27238260727</v>
      </c>
      <c r="H53" s="120"/>
      <c r="I53" s="120"/>
      <c r="J53" s="219">
        <f>J31+J32+J33-J35-J59</f>
        <v>42232.07460745855</v>
      </c>
      <c r="K53" s="220">
        <f>K31+K32+K33-K35-K59</f>
        <v>5841.197775148722</v>
      </c>
      <c r="L53" s="38"/>
      <c r="P53" s="201">
        <f>IF(ISERROR(INDEX(NET_ID,MATCH(F53,NET_GROUP,0))),0,INDEX(NET_ID,MATCH(F53,NET_GROUP,0)))</f>
        <v>26555079</v>
      </c>
      <c r="R53" s="211" t="s">
        <v>195</v>
      </c>
      <c r="S53" s="211" t="str">
        <f>F53</f>
        <v>ООО "Воздушные ворота северной столицы"</v>
      </c>
    </row>
    <row r="54" spans="2:15" ht="11.25">
      <c r="B54" s="201">
        <v>1</v>
      </c>
      <c r="D54" s="32"/>
      <c r="E54" s="93"/>
      <c r="F54" s="134" t="s">
        <v>56</v>
      </c>
      <c r="G54" s="129"/>
      <c r="H54" s="129"/>
      <c r="I54" s="129"/>
      <c r="J54" s="129"/>
      <c r="K54" s="130"/>
      <c r="L54" s="38"/>
      <c r="O54" s="201">
        <v>1</v>
      </c>
    </row>
    <row r="55" spans="3:18" ht="33.75" customHeight="1">
      <c r="C55" s="140" t="s">
        <v>143</v>
      </c>
      <c r="D55" s="32"/>
      <c r="E55" s="124" t="s">
        <v>65</v>
      </c>
      <c r="F55" s="125" t="s">
        <v>164</v>
      </c>
      <c r="G55" s="116">
        <f aca="true" t="shared" si="2" ref="G55:G60">SUM(H55:K55)</f>
        <v>4343.1636</v>
      </c>
      <c r="H55" s="116">
        <f>H56+H64</f>
        <v>0</v>
      </c>
      <c r="I55" s="116">
        <f>I56+I64</f>
        <v>0</v>
      </c>
      <c r="J55" s="116">
        <f>J56+J64</f>
        <v>2483.335</v>
      </c>
      <c r="K55" s="117">
        <f>K56+K64</f>
        <v>1859.8286</v>
      </c>
      <c r="L55" s="38"/>
      <c r="R55" s="211" t="s">
        <v>164</v>
      </c>
    </row>
    <row r="56" spans="3:18" ht="26.25" customHeight="1">
      <c r="C56" s="140"/>
      <c r="D56" s="32"/>
      <c r="E56" s="189" t="s">
        <v>175</v>
      </c>
      <c r="F56" s="186" t="s">
        <v>176</v>
      </c>
      <c r="G56" s="116">
        <f t="shared" si="2"/>
        <v>4343.1636</v>
      </c>
      <c r="H56" s="116">
        <f>SUMIF($Q57:$Q63,"="&amp;$Q56,H57:H63)</f>
        <v>0</v>
      </c>
      <c r="I56" s="116">
        <f>SUMIF($Q57:$Q63,"="&amp;$Q56,I57:I63)</f>
        <v>0</v>
      </c>
      <c r="J56" s="116">
        <f>SUMIF($Q57:$Q63,"="&amp;$Q56,J57:J63)</f>
        <v>2483.335</v>
      </c>
      <c r="K56" s="117">
        <f>SUMIF($Q57:$Q63,"="&amp;$Q56,K57:K63)</f>
        <v>1859.8286</v>
      </c>
      <c r="L56" s="38"/>
      <c r="Q56" s="201">
        <v>5</v>
      </c>
      <c r="R56" s="211" t="s">
        <v>196</v>
      </c>
    </row>
    <row r="57" spans="1:19" ht="11.25">
      <c r="A57" s="201">
        <f aca="true" t="shared" si="3" ref="A57:A62">NOT($O$63)*1</f>
        <v>0</v>
      </c>
      <c r="B57" s="201">
        <v>2</v>
      </c>
      <c r="D57" s="32"/>
      <c r="E57" s="272" t="str">
        <f>"3.2.1."&amp;(ROW()-ROW($E$57))/2+1&amp;"."</f>
        <v>3.2.1.1.</v>
      </c>
      <c r="F57" s="208" t="str">
        <f>F18</f>
        <v>ОАО "Аэропорт "Пулково"</v>
      </c>
      <c r="G57" s="116">
        <f t="shared" si="2"/>
        <v>0</v>
      </c>
      <c r="H57" s="120"/>
      <c r="I57" s="120"/>
      <c r="J57" s="120">
        <v>0</v>
      </c>
      <c r="K57" s="121">
        <v>0</v>
      </c>
      <c r="L57" s="38"/>
      <c r="O57" s="201">
        <v>1</v>
      </c>
      <c r="P57" s="201">
        <f>IF(ISERROR(INDEX(NET_ID,MATCH(F57,NET_GROUP,0))),0,INDEX(NET_ID,MATCH(F57,NET_GROUP,0)))</f>
        <v>26420583</v>
      </c>
      <c r="Q57" s="201">
        <v>5</v>
      </c>
      <c r="R57" s="211" t="s">
        <v>196</v>
      </c>
      <c r="S57" s="211" t="str">
        <f>F57</f>
        <v>ОАО "Аэропорт "Пулково"</v>
      </c>
    </row>
    <row r="58" spans="1:19" ht="11.25">
      <c r="A58" s="201">
        <f t="shared" si="3"/>
        <v>0</v>
      </c>
      <c r="D58" s="32"/>
      <c r="E58" s="273"/>
      <c r="F58" s="165" t="s">
        <v>162</v>
      </c>
      <c r="G58" s="116">
        <f t="shared" si="2"/>
        <v>0</v>
      </c>
      <c r="H58" s="120"/>
      <c r="I58" s="120"/>
      <c r="J58" s="120"/>
      <c r="K58" s="121"/>
      <c r="L58" s="38"/>
      <c r="P58" s="201">
        <f>IF(ISERROR(INDEX(NET_ID,MATCH(F57,NET_GROUP,0))),0,INDEX(NET_ID,MATCH(F57,NET_GROUP,0)))</f>
        <v>26420583</v>
      </c>
      <c r="R58" s="211" t="s">
        <v>229</v>
      </c>
      <c r="S58" s="211" t="str">
        <f>F57</f>
        <v>ОАО "Аэропорт "Пулково"</v>
      </c>
    </row>
    <row r="59" spans="1:19" ht="11.25">
      <c r="A59" s="201">
        <f t="shared" si="3"/>
        <v>0</v>
      </c>
      <c r="B59" s="201">
        <v>2</v>
      </c>
      <c r="D59" s="32"/>
      <c r="E59" s="272" t="str">
        <f>"3.2.1."&amp;(ROW()-ROW($E$57))/2+1&amp;"."</f>
        <v>3.2.1.2.</v>
      </c>
      <c r="F59" s="208" t="str">
        <f>$F$19</f>
        <v>ОАО "Петербургская сбытовая компания"</v>
      </c>
      <c r="G59" s="116">
        <f t="shared" si="2"/>
        <v>4343.1636</v>
      </c>
      <c r="H59" s="120"/>
      <c r="I59" s="120"/>
      <c r="J59" s="120">
        <f>2483335/1000</f>
        <v>2483.335</v>
      </c>
      <c r="K59" s="121">
        <f>1859828.6/1000</f>
        <v>1859.8286</v>
      </c>
      <c r="L59" s="38"/>
      <c r="O59" s="201">
        <v>1</v>
      </c>
      <c r="P59" s="201">
        <f>IF(ISERROR(INDEX(NET_ID,MATCH(F59,NET_GROUP,0))),0,INDEX(NET_ID,MATCH(F59,NET_GROUP,0)))</f>
        <v>26424359</v>
      </c>
      <c r="Q59" s="201">
        <v>5</v>
      </c>
      <c r="R59" s="211" t="s">
        <v>196</v>
      </c>
      <c r="S59" s="211" t="str">
        <f>F59</f>
        <v>ОАО "Петербургская сбытовая компания"</v>
      </c>
    </row>
    <row r="60" spans="1:19" ht="11.25">
      <c r="A60" s="201">
        <f t="shared" si="3"/>
        <v>0</v>
      </c>
      <c r="D60" s="32"/>
      <c r="E60" s="273"/>
      <c r="F60" s="165" t="s">
        <v>162</v>
      </c>
      <c r="G60" s="116">
        <f t="shared" si="2"/>
        <v>0</v>
      </c>
      <c r="H60" s="120"/>
      <c r="I60" s="120"/>
      <c r="J60" s="120"/>
      <c r="K60" s="121"/>
      <c r="L60" s="38"/>
      <c r="P60" s="201">
        <f>IF(ISERROR(INDEX(NET_ID,MATCH(F59,NET_GROUP,0))),0,INDEX(NET_ID,MATCH(F59,NET_GROUP,0)))</f>
        <v>26424359</v>
      </c>
      <c r="R60" s="211" t="s">
        <v>229</v>
      </c>
      <c r="S60" s="211" t="str">
        <f>F59</f>
        <v>ОАО "Петербургская сбытовая компания"</v>
      </c>
    </row>
    <row r="61" spans="1:19" ht="11.25">
      <c r="A61" s="201">
        <f t="shared" si="3"/>
        <v>0</v>
      </c>
      <c r="B61" s="201">
        <v>2</v>
      </c>
      <c r="D61" s="32"/>
      <c r="E61" s="272" t="str">
        <f>"3.2.1."&amp;(ROW()-ROW($E$57))/2+1&amp;"."</f>
        <v>3.2.1.3.</v>
      </c>
      <c r="F61" s="208" t="str">
        <f>$F$20</f>
        <v>Прочие поставщики</v>
      </c>
      <c r="G61" s="116">
        <f>SUM(H61:K61)</f>
        <v>0</v>
      </c>
      <c r="H61" s="120"/>
      <c r="I61" s="120"/>
      <c r="J61" s="120">
        <v>0</v>
      </c>
      <c r="K61" s="121">
        <v>0</v>
      </c>
      <c r="L61" s="38"/>
      <c r="O61" s="201">
        <v>1</v>
      </c>
      <c r="P61" s="201">
        <f>IF(ISERROR(INDEX(NET_ID,MATCH(F61,NET_GROUP,0))),0,INDEX(NET_ID,MATCH(F61,NET_GROUP,0)))</f>
        <v>0</v>
      </c>
      <c r="Q61" s="201">
        <v>5</v>
      </c>
      <c r="R61" s="211" t="s">
        <v>196</v>
      </c>
      <c r="S61" s="211" t="str">
        <f>F61</f>
        <v>Прочие поставщики</v>
      </c>
    </row>
    <row r="62" spans="1:19" ht="11.25">
      <c r="A62" s="201">
        <f t="shared" si="3"/>
        <v>0</v>
      </c>
      <c r="D62" s="32"/>
      <c r="E62" s="273"/>
      <c r="F62" s="165" t="s">
        <v>162</v>
      </c>
      <c r="G62" s="116">
        <f>SUM(H62:K62)</f>
        <v>0</v>
      </c>
      <c r="H62" s="120"/>
      <c r="I62" s="120"/>
      <c r="J62" s="120"/>
      <c r="K62" s="121"/>
      <c r="L62" s="38"/>
      <c r="P62" s="201">
        <f>IF(ISERROR(INDEX(NET_ID,MATCH(F61,NET_GROUP,0))),0,INDEX(NET_ID,MATCH(F61,NET_GROUP,0)))</f>
        <v>0</v>
      </c>
      <c r="R62" s="211" t="s">
        <v>229</v>
      </c>
      <c r="S62" s="211" t="str">
        <f>F61</f>
        <v>Прочие поставщики</v>
      </c>
    </row>
    <row r="63" spans="2:15" ht="11.25">
      <c r="B63" s="201">
        <v>2</v>
      </c>
      <c r="D63" s="32"/>
      <c r="E63" s="93"/>
      <c r="F63" s="191"/>
      <c r="G63" s="129"/>
      <c r="H63" s="129"/>
      <c r="I63" s="129"/>
      <c r="J63" s="129"/>
      <c r="K63" s="130"/>
      <c r="L63" s="38"/>
      <c r="O63" s="201">
        <v>1</v>
      </c>
    </row>
    <row r="64" spans="3:19" ht="26.25" customHeight="1">
      <c r="C64" s="140" t="s">
        <v>143</v>
      </c>
      <c r="D64" s="32"/>
      <c r="E64" s="124" t="s">
        <v>226</v>
      </c>
      <c r="F64" s="127" t="s">
        <v>165</v>
      </c>
      <c r="G64" s="116">
        <f>SUM(H64:K64)</f>
        <v>0</v>
      </c>
      <c r="H64" s="116">
        <f>SUM(H65:H66)</f>
        <v>0</v>
      </c>
      <c r="I64" s="116">
        <f>SUM(I65:I66)</f>
        <v>0</v>
      </c>
      <c r="J64" s="116">
        <f>SUM(J65:J66)</f>
        <v>0</v>
      </c>
      <c r="K64" s="154">
        <f>SUM(K65:K66)</f>
        <v>0</v>
      </c>
      <c r="L64" s="38"/>
      <c r="R64" s="211" t="s">
        <v>197</v>
      </c>
      <c r="S64" s="211" t="s">
        <v>165</v>
      </c>
    </row>
    <row r="65" spans="1:19" ht="22.5" hidden="1">
      <c r="A65" s="201">
        <f>NOT($O$66)*1</f>
        <v>1</v>
      </c>
      <c r="B65" s="201">
        <v>1</v>
      </c>
      <c r="D65" s="32"/>
      <c r="E65" s="167" t="str">
        <f>"3.2.2."&amp;ROW()-ROW($E$65)+1&amp;"."</f>
        <v>3.2.2.1.</v>
      </c>
      <c r="F65" s="208">
        <f>F23</f>
        <v>0</v>
      </c>
      <c r="G65" s="163">
        <f>SUM(H65:K65)</f>
        <v>0</v>
      </c>
      <c r="H65" s="120"/>
      <c r="I65" s="120"/>
      <c r="J65" s="120"/>
      <c r="K65" s="121"/>
      <c r="L65" s="38"/>
      <c r="P65" s="201">
        <f>IF(ISERROR(INDEX(NET_ID,MATCH(F65,NET_GROUP,0))),0,INDEX(NET_ID,MATCH(F65,NET_GROUP,0)))</f>
        <v>0</v>
      </c>
      <c r="R65" s="211" t="s">
        <v>197</v>
      </c>
      <c r="S65" s="211">
        <f>F65</f>
        <v>0</v>
      </c>
    </row>
    <row r="66" spans="2:15" ht="11.25">
      <c r="B66" s="201">
        <v>1</v>
      </c>
      <c r="D66" s="32"/>
      <c r="E66" s="93"/>
      <c r="F66" s="134"/>
      <c r="G66" s="129"/>
      <c r="H66" s="129"/>
      <c r="I66" s="129"/>
      <c r="J66" s="129"/>
      <c r="K66" s="130"/>
      <c r="L66" s="38"/>
      <c r="O66" s="201">
        <v>0</v>
      </c>
    </row>
    <row r="67" spans="4:12" ht="11.25">
      <c r="D67" s="32"/>
      <c r="E67" s="135"/>
      <c r="F67" s="143"/>
      <c r="G67" s="136"/>
      <c r="H67" s="136"/>
      <c r="I67" s="136"/>
      <c r="J67" s="136"/>
      <c r="K67" s="137"/>
      <c r="L67" s="38"/>
    </row>
    <row r="68" spans="4:12" ht="15" customHeight="1" thickBot="1">
      <c r="D68" s="32"/>
      <c r="E68" s="139"/>
      <c r="F68" s="144" t="s">
        <v>24</v>
      </c>
      <c r="G68" s="141">
        <f>G15-G30</f>
        <v>0</v>
      </c>
      <c r="H68" s="141">
        <f>H15-H35-H51-I27-J27</f>
        <v>0</v>
      </c>
      <c r="I68" s="141">
        <f>I15-I35-I51-J28</f>
        <v>0</v>
      </c>
      <c r="J68" s="141">
        <f>J15-J35-J51-K29</f>
        <v>0</v>
      </c>
      <c r="K68" s="142">
        <f>K15-K35-K51</f>
        <v>0</v>
      </c>
      <c r="L68" s="38"/>
    </row>
    <row r="69" spans="4:12" ht="15" customHeight="1">
      <c r="D69" s="35"/>
      <c r="E69" s="97"/>
      <c r="F69" s="36"/>
      <c r="G69" s="97"/>
      <c r="H69" s="97"/>
      <c r="I69" s="97"/>
      <c r="J69" s="97"/>
      <c r="K69" s="36"/>
      <c r="L69" s="39"/>
    </row>
    <row r="72" ht="11.25">
      <c r="D72" t="s">
        <v>57</v>
      </c>
    </row>
  </sheetData>
  <sheetProtection password="E4D4" sheet="1" scenarios="1" formatColumns="0" formatRows="0"/>
  <mergeCells count="13">
    <mergeCell ref="K4:L4"/>
    <mergeCell ref="K5:L5"/>
    <mergeCell ref="D10:L10"/>
    <mergeCell ref="D11:L11"/>
    <mergeCell ref="D8:L8"/>
    <mergeCell ref="D9:L9"/>
    <mergeCell ref="E44:E45"/>
    <mergeCell ref="E61:E62"/>
    <mergeCell ref="E42:E43"/>
    <mergeCell ref="E59:E60"/>
    <mergeCell ref="E40:E41"/>
    <mergeCell ref="E48:E49"/>
    <mergeCell ref="E57:E58"/>
  </mergeCells>
  <dataValidations count="5">
    <dataValidation type="decimal" allowBlank="1" showInputMessage="1" showErrorMessage="1" errorTitle="Внимание" error="Допускается ввод только действительных значений" sqref="K64 K52 K47 K36 K38:K39 K30">
      <formula1>-999999999999999000000000</formula1>
      <formula2>9.99999999999999E+23</formula2>
    </dataValidation>
    <dataValidation type="decimal" allowBlank="1" showInputMessage="1" showErrorMessage="1" error="Допускается ввод только положительных действительных чисел!" sqref="H65:K65 H18:K20 H57:K62 H48:K49 H35:K35 H37:K37 K29 H53:K53 I27:J27 J28 H40:K45 H23:K23 H31:K33">
      <formula1>0</formula1>
      <formula2>9.99999999999999E+37</formula2>
    </dataValidation>
    <dataValidation allowBlank="1" showInputMessage="1" showErrorMessage="1" errorTitle="Внимание" error="Допускается ввод только действительных чисел!" sqref="H56"/>
    <dataValidation type="list" allowBlank="1" showInputMessage="1" showErrorMessage="1" errorTitle="Внимание" error="Вы вводите наименование, отсутствующее в реестре поставщиков!" sqref="F18:F20 F53 F23 F31:F33">
      <formula1>NET_GROUP</formula1>
    </dataValidation>
    <dataValidation type="decimal" allowBlank="1" showInputMessage="1" showErrorMessage="1" errorTitle="Внимание" error="Допускается ввод только действительных чисел!" sqref="I29 H28:H29 H25:H26 G26 K27:K28">
      <formula1>-999999999999999000000000</formula1>
      <formula2>9.99999999999999E+23</formula2>
    </dataValidation>
  </dataValidations>
  <hyperlinks>
    <hyperlink ref="F34" location="'Баланс ЭЭ'!F1" tooltip="Добавить" display="Добавить"/>
    <hyperlink ref="C38" location="Титульный!C1" display="+"/>
    <hyperlink ref="C55" location="Титульный!C1" display="+"/>
    <hyperlink ref="F21" location="'Баланс ЭЭ'!F1" tooltip="Добавить" display="Добавить"/>
    <hyperlink ref="F54" location="'Баланс ЭЭ'!F1" tooltip="Добавить" display="Добавить"/>
    <hyperlink ref="C17" location="Титульный!C1" display="+"/>
    <hyperlink ref="C52" location="Титульный!C1" display="+"/>
    <hyperlink ref="C64" location="Титульный!C1" display="+"/>
    <hyperlink ref="C30" location="Титульный!C1" display="+"/>
    <hyperlink ref="C22" location="Титульный!C1" display="+"/>
    <hyperlink ref="F24" location="'Баланс ЭЭ'!F1" tooltip="Добавить" display="Добавить"/>
    <hyperlink ref="C32" location="'Баланс ЭЭ'!A1" display="Удалить"/>
    <hyperlink ref="C19" location="'Баланс ЭЭ'!A1" display="Удалить"/>
    <hyperlink ref="C20" location="'Баланс ЭЭ'!A1" display="Удалить"/>
    <hyperlink ref="C33" location="'Баланс ЭЭ'!A1" display="Удалить"/>
  </hyperlinks>
  <printOptions horizontalCentered="1"/>
  <pageMargins left="0.7086614173228347" right="0.7086614173228347" top="0.35433070866141736" bottom="0.35433070866141736" header="0.31496062992125984" footer="0.31496062992125984"/>
  <pageSetup fitToHeight="100" fitToWidth="1" horizontalDpi="600" verticalDpi="600" orientation="portrait" paperSize="9" scale="63" r:id="rId2"/>
  <legacyDrawing r:id="rId1"/>
</worksheet>
</file>

<file path=xl/worksheets/sheet7.xml><?xml version="1.0" encoding="utf-8"?>
<worksheet xmlns="http://schemas.openxmlformats.org/spreadsheetml/2006/main" xmlns:r="http://schemas.openxmlformats.org/officeDocument/2006/relationships">
  <sheetPr codeName="Sheet_13">
    <pageSetUpPr fitToPage="1"/>
  </sheetPr>
  <dimension ref="A1:U105"/>
  <sheetViews>
    <sheetView showGridLines="0" zoomScalePageLayoutView="0" workbookViewId="0" topLeftCell="C4">
      <selection activeCell="G79" sqref="G79"/>
    </sheetView>
  </sheetViews>
  <sheetFormatPr defaultColWidth="9.140625" defaultRowHeight="11.25"/>
  <cols>
    <col min="1" max="2" width="9.57421875" style="201" hidden="1" customWidth="1"/>
    <col min="3" max="3" width="12.8515625" style="0" customWidth="1"/>
    <col min="4" max="4" width="4.7109375" style="0" customWidth="1"/>
    <col min="5" max="5" width="6.7109375" style="95" customWidth="1"/>
    <col min="6" max="6" width="49.8515625" style="0" customWidth="1"/>
    <col min="7" max="10" width="15.7109375" style="95" customWidth="1"/>
    <col min="11" max="11" width="15.7109375" style="0" customWidth="1"/>
    <col min="12" max="12" width="5.7109375" style="0" customWidth="1"/>
    <col min="13" max="14" width="9.140625" style="0" customWidth="1"/>
    <col min="15" max="17" width="9.57421875" style="201" hidden="1" customWidth="1"/>
    <col min="18" max="20" width="9.140625" style="201" hidden="1" customWidth="1"/>
    <col min="21" max="21" width="9.140625" style="98" customWidth="1"/>
  </cols>
  <sheetData>
    <row r="1" spans="1:20" s="198" customFormat="1" ht="11.25" hidden="1">
      <c r="A1" s="212">
        <f>ID</f>
        <v>26555079</v>
      </c>
      <c r="B1" s="201"/>
      <c r="E1" s="200"/>
      <c r="G1" s="202" t="s">
        <v>182</v>
      </c>
      <c r="H1" s="202" t="s">
        <v>183</v>
      </c>
      <c r="I1" s="202" t="s">
        <v>184</v>
      </c>
      <c r="J1" s="202" t="s">
        <v>185</v>
      </c>
      <c r="K1" s="202" t="s">
        <v>186</v>
      </c>
      <c r="O1" s="201"/>
      <c r="P1" s="201"/>
      <c r="Q1" s="201"/>
      <c r="R1" s="201"/>
      <c r="S1" s="201"/>
      <c r="T1" s="201"/>
    </row>
    <row r="2" spans="1:20" s="198" customFormat="1" ht="11.25" hidden="1">
      <c r="A2" s="212" t="s">
        <v>129</v>
      </c>
      <c r="B2" s="201"/>
      <c r="E2" s="200"/>
      <c r="G2" s="202" t="s">
        <v>132</v>
      </c>
      <c r="H2" s="202" t="s">
        <v>133</v>
      </c>
      <c r="I2" s="202" t="s">
        <v>187</v>
      </c>
      <c r="J2" s="202" t="s">
        <v>188</v>
      </c>
      <c r="K2" s="202" t="s">
        <v>136</v>
      </c>
      <c r="O2" s="201"/>
      <c r="P2" s="201"/>
      <c r="Q2" s="201"/>
      <c r="R2" s="201"/>
      <c r="S2" s="201"/>
      <c r="T2" s="201"/>
    </row>
    <row r="3" spans="1:21" s="46" customFormat="1" ht="11.25" hidden="1">
      <c r="A3" s="201"/>
      <c r="B3" s="201"/>
      <c r="E3" s="94"/>
      <c r="G3" s="94"/>
      <c r="H3" s="94"/>
      <c r="I3" s="94"/>
      <c r="J3" s="94"/>
      <c r="L3" s="58"/>
      <c r="M3" s="58"/>
      <c r="O3" s="201"/>
      <c r="P3" s="201"/>
      <c r="Q3" s="201"/>
      <c r="R3" s="201"/>
      <c r="S3" s="201"/>
      <c r="T3" s="201"/>
      <c r="U3" s="198"/>
    </row>
    <row r="4" spans="11:13" ht="11.25">
      <c r="K4" s="223" t="str">
        <f>FORMCODE</f>
        <v>EE.NET.BAL.4.178</v>
      </c>
      <c r="L4" s="223"/>
      <c r="M4" s="149"/>
    </row>
    <row r="5" spans="11:13" ht="11.25">
      <c r="K5" s="223" t="str">
        <f>VERSION</f>
        <v>Версия 1.0</v>
      </c>
      <c r="L5" s="223"/>
      <c r="M5" s="149"/>
    </row>
    <row r="6" spans="12:13" ht="11.25">
      <c r="L6" s="105"/>
      <c r="M6" s="149"/>
    </row>
    <row r="7" spans="12:13" ht="16.5" customHeight="1" thickBot="1">
      <c r="L7" s="99"/>
      <c r="M7" s="171"/>
    </row>
    <row r="8" spans="4:13" ht="22.5" customHeight="1">
      <c r="D8" s="276" t="s">
        <v>213</v>
      </c>
      <c r="E8" s="277"/>
      <c r="F8" s="277"/>
      <c r="G8" s="277"/>
      <c r="H8" s="277"/>
      <c r="I8" s="277"/>
      <c r="J8" s="277"/>
      <c r="K8" s="277"/>
      <c r="L8" s="278"/>
      <c r="M8" s="171"/>
    </row>
    <row r="9" spans="4:13" ht="15.75" customHeight="1" thickBot="1">
      <c r="D9" s="228" t="str">
        <f>COMPANY</f>
        <v>ООО "Воздушные ворота северной столицы"</v>
      </c>
      <c r="E9" s="229"/>
      <c r="F9" s="229"/>
      <c r="G9" s="229"/>
      <c r="H9" s="229"/>
      <c r="I9" s="229"/>
      <c r="J9" s="229"/>
      <c r="K9" s="229"/>
      <c r="L9" s="230"/>
      <c r="M9" s="171"/>
    </row>
    <row r="10" spans="4:13" ht="16.5" customHeight="1">
      <c r="D10" s="274" t="str">
        <f>IF(PF="План","на ",IF(PF="Факт","за "&amp;MONTH_PERIOD&amp;" "," "))&amp;YEAR_PERIOD&amp;" г. ("&amp;PF&amp;")"</f>
        <v>за Год 2014 г. (Факт)</v>
      </c>
      <c r="E10" s="274"/>
      <c r="F10" s="274"/>
      <c r="G10" s="274"/>
      <c r="H10" s="274"/>
      <c r="I10" s="274"/>
      <c r="J10" s="274"/>
      <c r="K10" s="274"/>
      <c r="L10" s="274"/>
      <c r="M10" s="150"/>
    </row>
    <row r="11" spans="4:13" ht="11.25">
      <c r="D11" s="275" t="s">
        <v>144</v>
      </c>
      <c r="E11" s="275"/>
      <c r="F11" s="275"/>
      <c r="G11" s="275"/>
      <c r="H11" s="275"/>
      <c r="I11" s="275"/>
      <c r="J11" s="275"/>
      <c r="K11" s="275"/>
      <c r="L11" s="275"/>
      <c r="M11" s="172"/>
    </row>
    <row r="12" spans="4:13" ht="15" customHeight="1" thickBot="1">
      <c r="D12" s="33"/>
      <c r="E12" s="96"/>
      <c r="F12" s="34"/>
      <c r="G12" s="96"/>
      <c r="H12" s="96"/>
      <c r="I12" s="96"/>
      <c r="J12" s="96"/>
      <c r="K12" s="34"/>
      <c r="L12" s="37"/>
      <c r="M12" s="57"/>
    </row>
    <row r="13" spans="4:13" ht="30" customHeight="1" thickBot="1">
      <c r="D13" s="32"/>
      <c r="E13" s="108" t="s">
        <v>40</v>
      </c>
      <c r="F13" s="109" t="s">
        <v>131</v>
      </c>
      <c r="G13" s="109" t="s">
        <v>132</v>
      </c>
      <c r="H13" s="109" t="s">
        <v>133</v>
      </c>
      <c r="I13" s="109" t="s">
        <v>134</v>
      </c>
      <c r="J13" s="109" t="s">
        <v>135</v>
      </c>
      <c r="K13" s="110" t="s">
        <v>136</v>
      </c>
      <c r="L13" s="38"/>
      <c r="M13" s="57"/>
    </row>
    <row r="14" spans="4:13" ht="12" thickBot="1">
      <c r="D14" s="32"/>
      <c r="E14" s="145">
        <v>1</v>
      </c>
      <c r="F14" s="146">
        <v>2</v>
      </c>
      <c r="G14" s="146">
        <v>3</v>
      </c>
      <c r="H14" s="146">
        <v>4</v>
      </c>
      <c r="I14" s="146">
        <v>5</v>
      </c>
      <c r="J14" s="146">
        <v>6</v>
      </c>
      <c r="K14" s="147">
        <v>7</v>
      </c>
      <c r="L14" s="38"/>
      <c r="M14" s="57"/>
    </row>
    <row r="15" spans="4:18" ht="41.25" customHeight="1">
      <c r="D15" s="32"/>
      <c r="E15" s="122" t="s">
        <v>59</v>
      </c>
      <c r="F15" s="173" t="s">
        <v>166</v>
      </c>
      <c r="G15" s="155">
        <f>G47+G72</f>
        <v>18.131290000000003</v>
      </c>
      <c r="H15" s="155">
        <f>H38</f>
        <v>0</v>
      </c>
      <c r="I15" s="155">
        <f>I33+I38</f>
        <v>0</v>
      </c>
      <c r="J15" s="155">
        <f>J33+J38</f>
        <v>13.497</v>
      </c>
      <c r="K15" s="157">
        <f>K33+K38</f>
        <v>4.634</v>
      </c>
      <c r="L15" s="38"/>
      <c r="M15" s="57"/>
      <c r="R15" s="201" t="s">
        <v>166</v>
      </c>
    </row>
    <row r="16" spans="4:19" ht="11.25">
      <c r="D16" s="32"/>
      <c r="E16" s="170"/>
      <c r="F16" s="179" t="s">
        <v>145</v>
      </c>
      <c r="G16" s="175">
        <f>IF(G15=0,0,'Баланс ЭЭ'!G15/G15)</f>
        <v>2985.4371420897237</v>
      </c>
      <c r="H16" s="175">
        <f>IF(H15=0,0,'Баланс ЭЭ'!H15/H15)</f>
        <v>0</v>
      </c>
      <c r="I16" s="175">
        <f>IF(I15=0,0,'Баланс ЭЭ'!I15/I15)</f>
        <v>0</v>
      </c>
      <c r="J16" s="175">
        <f>IF(J15=0,0,'Баланс ЭЭ'!J15/J15)</f>
        <v>3420.0359071465764</v>
      </c>
      <c r="K16" s="176">
        <f>IF(K15=0,0,'Баланс ЭЭ'!K15/K15)</f>
        <v>1719.8105224951794</v>
      </c>
      <c r="L16" s="38"/>
      <c r="M16" s="57"/>
      <c r="O16" s="201">
        <v>1</v>
      </c>
      <c r="R16" s="201" t="s">
        <v>166</v>
      </c>
      <c r="S16" s="201" t="s">
        <v>145</v>
      </c>
    </row>
    <row r="17" spans="3:18" ht="33.75" customHeight="1">
      <c r="C17" s="140" t="s">
        <v>143</v>
      </c>
      <c r="D17" s="32"/>
      <c r="E17" s="170" t="s">
        <v>216</v>
      </c>
      <c r="F17" s="125" t="s">
        <v>217</v>
      </c>
      <c r="G17" s="116">
        <f>G52+G79</f>
        <v>1.3225</v>
      </c>
      <c r="H17" s="116">
        <f>H52+H79</f>
        <v>0</v>
      </c>
      <c r="I17" s="116">
        <f>I52+I79</f>
        <v>0</v>
      </c>
      <c r="J17" s="116">
        <f>J52+J79</f>
        <v>0.917</v>
      </c>
      <c r="K17" s="117">
        <f>K52+K79</f>
        <v>0.4055</v>
      </c>
      <c r="L17" s="38"/>
      <c r="M17" s="57"/>
      <c r="R17" s="201" t="s">
        <v>198</v>
      </c>
    </row>
    <row r="18" spans="4:19" ht="11.25">
      <c r="D18" s="32"/>
      <c r="E18" s="170"/>
      <c r="F18" s="180" t="s">
        <v>145</v>
      </c>
      <c r="G18" s="177">
        <f>IF(G17=0,0,'Баланс ЭЭ'!G16/G17)</f>
        <v>3423.679395085066</v>
      </c>
      <c r="H18" s="177">
        <f>IF(H17=0,0,'Баланс ЭЭ'!H16/H17)</f>
        <v>0</v>
      </c>
      <c r="I18" s="177">
        <f>IF(I17=0,0,'Баланс ЭЭ'!I16/I17)</f>
        <v>0</v>
      </c>
      <c r="J18" s="177">
        <f>IF(J17=0,0,'Баланс ЭЭ'!J16/J17)</f>
        <v>2822.9422028353324</v>
      </c>
      <c r="K18" s="178">
        <f>IF(K17=0,0,'Баланс ЭЭ'!K16/K17)</f>
        <v>4782.1898890258935</v>
      </c>
      <c r="L18" s="38"/>
      <c r="M18" s="57"/>
      <c r="R18" s="201" t="s">
        <v>198</v>
      </c>
      <c r="S18" s="201" t="s">
        <v>145</v>
      </c>
    </row>
    <row r="19" spans="3:18" ht="26.25" customHeight="1">
      <c r="C19" s="140" t="s">
        <v>143</v>
      </c>
      <c r="D19" s="32"/>
      <c r="E19" s="170" t="s">
        <v>218</v>
      </c>
      <c r="F19" s="127" t="s">
        <v>149</v>
      </c>
      <c r="G19" s="116">
        <f>G54+G81</f>
        <v>1.3225</v>
      </c>
      <c r="H19" s="116">
        <f>H54+H81</f>
        <v>0</v>
      </c>
      <c r="I19" s="116">
        <f>I54+I81</f>
        <v>0</v>
      </c>
      <c r="J19" s="116">
        <f>J54+J81</f>
        <v>0.917</v>
      </c>
      <c r="K19" s="117">
        <f>K54+K81</f>
        <v>0.4055</v>
      </c>
      <c r="L19" s="38"/>
      <c r="M19" s="57"/>
      <c r="R19" s="201" t="s">
        <v>198</v>
      </c>
    </row>
    <row r="20" spans="4:19" ht="11.25">
      <c r="D20" s="32"/>
      <c r="E20" s="170"/>
      <c r="F20" s="180" t="s">
        <v>145</v>
      </c>
      <c r="G20" s="177">
        <f>IF(G19=0,0,'Баланс ЭЭ'!G17/G19)</f>
        <v>3423.679395085066</v>
      </c>
      <c r="H20" s="177">
        <f>IF(H19=0,0,'Баланс ЭЭ'!H17/H19)</f>
        <v>0</v>
      </c>
      <c r="I20" s="177">
        <f>IF(I19=0,0,'Баланс ЭЭ'!I17/I19)</f>
        <v>0</v>
      </c>
      <c r="J20" s="177">
        <f>IF(J19=0,0,'Баланс ЭЭ'!J17/J19)</f>
        <v>2822.9422028353324</v>
      </c>
      <c r="K20" s="178">
        <f>IF(K19=0,0,'Баланс ЭЭ'!K17/K19)</f>
        <v>4782.1898890258935</v>
      </c>
      <c r="L20" s="38"/>
      <c r="M20" s="57"/>
      <c r="R20" s="201" t="s">
        <v>198</v>
      </c>
      <c r="S20" s="201" t="s">
        <v>145</v>
      </c>
    </row>
    <row r="21" spans="1:20" ht="22.5">
      <c r="A21" s="201">
        <f aca="true" t="shared" si="0" ref="A21:A26">NOT($O$27)*1</f>
        <v>0</v>
      </c>
      <c r="B21" s="201">
        <v>2</v>
      </c>
      <c r="D21" s="32"/>
      <c r="E21" s="128" t="str">
        <f>"1.0.1."&amp;(ROW()-ROW($E$21))/2+1&amp;"."</f>
        <v>1.0.1.1.</v>
      </c>
      <c r="F21" s="204" t="str">
        <f>'Баланс ЭЭ'!F18</f>
        <v>ОАО "Аэропорт "Пулково"</v>
      </c>
      <c r="G21" s="116">
        <f>SUM(H21:K21)</f>
        <v>0</v>
      </c>
      <c r="H21" s="120"/>
      <c r="I21" s="120"/>
      <c r="J21" s="120">
        <f>J83+J56</f>
        <v>0</v>
      </c>
      <c r="K21" s="120">
        <f>K83+K56</f>
        <v>0</v>
      </c>
      <c r="L21" s="38"/>
      <c r="M21" s="57"/>
      <c r="P21" s="201">
        <f>IF(ISERROR(INDEX(NET_ID,MATCH(F21,NET_GROUP,0))),0,INDEX(NET_ID,MATCH(F21,NET_GROUP,0)))</f>
        <v>26420583</v>
      </c>
      <c r="R21" s="201" t="s">
        <v>198</v>
      </c>
      <c r="T21" s="201" t="str">
        <f>F21</f>
        <v>ОАО "Аэропорт "Пулково"</v>
      </c>
    </row>
    <row r="22" spans="1:20" ht="11.25">
      <c r="A22" s="201">
        <f t="shared" si="0"/>
        <v>0</v>
      </c>
      <c r="D22" s="32"/>
      <c r="E22" s="124"/>
      <c r="F22" s="180" t="s">
        <v>145</v>
      </c>
      <c r="G22" s="177">
        <f>IF(G21=0,0,'Баланс ЭЭ'!G18/G21)</f>
        <v>0</v>
      </c>
      <c r="H22" s="177">
        <f>IF(H21=0,0,'Баланс ЭЭ'!H18/H21)</f>
        <v>0</v>
      </c>
      <c r="I22" s="177">
        <f>IF(I21=0,0,'Баланс ЭЭ'!I18/I21)</f>
        <v>0</v>
      </c>
      <c r="J22" s="177">
        <f>IF(J21=0,0,'Баланс ЭЭ'!J18/J21)</f>
        <v>0</v>
      </c>
      <c r="K22" s="178">
        <f>IF(K21=0,0,'Баланс ЭЭ'!K18/K21)</f>
        <v>0</v>
      </c>
      <c r="L22" s="38"/>
      <c r="M22" s="57"/>
      <c r="P22" s="201">
        <f>IF(ISERROR(INDEX(NET_ID,MATCH(F21,NET_GROUP,0))),0,INDEX(NET_ID,MATCH(F21,NET_GROUP,0)))</f>
        <v>26420583</v>
      </c>
      <c r="R22" s="201" t="s">
        <v>198</v>
      </c>
      <c r="S22" s="201" t="s">
        <v>145</v>
      </c>
      <c r="T22" s="201" t="str">
        <f>F21</f>
        <v>ОАО "Аэропорт "Пулково"</v>
      </c>
    </row>
    <row r="23" spans="1:20" ht="22.5">
      <c r="A23" s="201">
        <f t="shared" si="0"/>
        <v>0</v>
      </c>
      <c r="B23" s="201">
        <v>2</v>
      </c>
      <c r="D23" s="32"/>
      <c r="E23" s="128" t="str">
        <f>"1.0.1."&amp;(ROW()-ROW($E$21))/2+1&amp;"."</f>
        <v>1.0.1.2.</v>
      </c>
      <c r="F23" s="204" t="str">
        <f>'Баланс ЭЭ'!F19</f>
        <v>ОАО "Петербургская сбытовая компания"</v>
      </c>
      <c r="G23" s="116">
        <f>SUM(H23:K23)</f>
        <v>1.3225</v>
      </c>
      <c r="H23" s="120"/>
      <c r="I23" s="120"/>
      <c r="J23" s="120">
        <f>J86+J59</f>
        <v>0.917</v>
      </c>
      <c r="K23" s="120">
        <f>K86+K59</f>
        <v>0.4055</v>
      </c>
      <c r="L23" s="38"/>
      <c r="M23" s="57"/>
      <c r="P23" s="201">
        <f>IF(ISERROR(INDEX(NET_ID,MATCH(F23,NET_GROUP,0))),0,INDEX(NET_ID,MATCH(F23,NET_GROUP,0)))</f>
        <v>26424359</v>
      </c>
      <c r="R23" s="201" t="s">
        <v>198</v>
      </c>
      <c r="T23" s="201" t="str">
        <f>F23</f>
        <v>ОАО "Петербургская сбытовая компания"</v>
      </c>
    </row>
    <row r="24" spans="1:20" ht="11.25">
      <c r="A24" s="201">
        <f t="shared" si="0"/>
        <v>0</v>
      </c>
      <c r="D24" s="32"/>
      <c r="E24" s="124"/>
      <c r="F24" s="180" t="s">
        <v>145</v>
      </c>
      <c r="G24" s="177">
        <f>IF($G$23=0,0,'Баланс ЭЭ'!$G$19/$G$23*1000)</f>
        <v>3423679.395085066</v>
      </c>
      <c r="H24" s="177">
        <f>IF($H$23=0,0,'Баланс ЭЭ'!$H$19/$H$23*1000)</f>
        <v>0</v>
      </c>
      <c r="I24" s="177">
        <f>IF($I$23=0,0,'Баланс ЭЭ'!$I$19/$I$23*1000)</f>
        <v>0</v>
      </c>
      <c r="J24" s="177">
        <f>IF($J$23=0,0,'Баланс ЭЭ'!$J$19/$J$23*1000)</f>
        <v>2822942.2028353326</v>
      </c>
      <c r="K24" s="178">
        <f>IF($K$23=0,0,'Баланс ЭЭ'!$K$19/$K$23*1000)</f>
        <v>4782189.889025894</v>
      </c>
      <c r="L24" s="38"/>
      <c r="M24" s="57"/>
      <c r="P24" s="201">
        <f>IF(ISERROR(INDEX(NET_ID,MATCH(F23,NET_GROUP,0))),0,INDEX(NET_ID,MATCH(F23,NET_GROUP,0)))</f>
        <v>26424359</v>
      </c>
      <c r="R24" s="201" t="s">
        <v>198</v>
      </c>
      <c r="S24" s="201" t="s">
        <v>145</v>
      </c>
      <c r="T24" s="201" t="str">
        <f>F23</f>
        <v>ОАО "Петербургская сбытовая компания"</v>
      </c>
    </row>
    <row r="25" spans="1:20" ht="22.5">
      <c r="A25" s="201">
        <f t="shared" si="0"/>
        <v>0</v>
      </c>
      <c r="B25" s="201">
        <v>2</v>
      </c>
      <c r="D25" s="32"/>
      <c r="E25" s="128" t="str">
        <f>"1.0.1."&amp;(ROW()-ROW($E$21))/2+1&amp;"."</f>
        <v>1.0.1.3.</v>
      </c>
      <c r="F25" s="204" t="str">
        <f>'Баланс ЭЭ'!F20</f>
        <v>Прочие поставщики</v>
      </c>
      <c r="G25" s="116">
        <f>SUM(H25:K25)</f>
        <v>0</v>
      </c>
      <c r="H25" s="120"/>
      <c r="I25" s="120"/>
      <c r="J25" s="120">
        <v>0</v>
      </c>
      <c r="K25" s="120">
        <v>0</v>
      </c>
      <c r="L25" s="38"/>
      <c r="M25" s="57"/>
      <c r="P25" s="201">
        <f>IF(ISERROR(INDEX(NET_ID,MATCH(F25,NET_GROUP,0))),0,INDEX(NET_ID,MATCH(F25,NET_GROUP,0)))</f>
        <v>0</v>
      </c>
      <c r="R25" s="201" t="s">
        <v>198</v>
      </c>
      <c r="T25" s="201" t="str">
        <f>F25</f>
        <v>Прочие поставщики</v>
      </c>
    </row>
    <row r="26" spans="1:20" ht="11.25">
      <c r="A26" s="201">
        <f t="shared" si="0"/>
        <v>0</v>
      </c>
      <c r="D26" s="32"/>
      <c r="E26" s="124"/>
      <c r="F26" s="180" t="s">
        <v>145</v>
      </c>
      <c r="G26" s="177">
        <f>IF($G$25=0,0,'Баланс ЭЭ'!$G$20/$G$25*1000)</f>
        <v>0</v>
      </c>
      <c r="H26" s="177">
        <f>IF($H$25=0,0,'Баланс ЭЭ'!$H$20/$H$25*1000)</f>
        <v>0</v>
      </c>
      <c r="I26" s="177">
        <f>IF($I$25=0,0,'Баланс ЭЭ'!$I$20/$I$25*1000)</f>
        <v>0</v>
      </c>
      <c r="J26" s="177">
        <f>IF($J$25=0,0,'Баланс ЭЭ'!$J$20/$J$25*1000)</f>
        <v>0</v>
      </c>
      <c r="K26" s="178">
        <f>IF($K$25=0,0,'Баланс ЭЭ'!$K$20/$K$25*1000)</f>
        <v>0</v>
      </c>
      <c r="L26" s="38"/>
      <c r="M26" s="57"/>
      <c r="P26" s="201">
        <f>IF(ISERROR(INDEX(NET_ID,MATCH(F25,NET_GROUP,0))),0,INDEX(NET_ID,MATCH(F25,NET_GROUP,0)))</f>
        <v>0</v>
      </c>
      <c r="R26" s="201" t="s">
        <v>198</v>
      </c>
      <c r="S26" s="201" t="s">
        <v>145</v>
      </c>
      <c r="T26" s="201" t="str">
        <f>F25</f>
        <v>Прочие поставщики</v>
      </c>
    </row>
    <row r="27" spans="2:15" ht="11.25">
      <c r="B27" s="201">
        <v>2</v>
      </c>
      <c r="C27" s="91"/>
      <c r="D27" s="32"/>
      <c r="E27" s="93"/>
      <c r="F27" s="134"/>
      <c r="G27" s="129"/>
      <c r="H27" s="129"/>
      <c r="I27" s="129"/>
      <c r="J27" s="129"/>
      <c r="K27" s="130"/>
      <c r="L27" s="38"/>
      <c r="M27" s="57"/>
      <c r="O27" s="201">
        <v>1</v>
      </c>
    </row>
    <row r="28" spans="3:18" ht="26.25" customHeight="1">
      <c r="C28" s="140" t="s">
        <v>143</v>
      </c>
      <c r="D28" s="32"/>
      <c r="E28" s="170" t="s">
        <v>219</v>
      </c>
      <c r="F28" s="203" t="s">
        <v>220</v>
      </c>
      <c r="G28" s="116">
        <f>G66+G93</f>
        <v>0</v>
      </c>
      <c r="H28" s="116">
        <f>H66+H93</f>
        <v>0</v>
      </c>
      <c r="I28" s="116">
        <f>I66+I93</f>
        <v>0</v>
      </c>
      <c r="J28" s="116">
        <f>J66+J93</f>
        <v>0</v>
      </c>
      <c r="K28" s="117">
        <f>K66+K93</f>
        <v>0</v>
      </c>
      <c r="L28" s="38"/>
      <c r="M28" s="57"/>
      <c r="R28" s="201" t="s">
        <v>198</v>
      </c>
    </row>
    <row r="29" spans="4:19" ht="11.25">
      <c r="D29" s="32"/>
      <c r="E29" s="170"/>
      <c r="F29" s="180" t="s">
        <v>145</v>
      </c>
      <c r="G29" s="177">
        <f>IF(G28=0,0,'Баланс ЭЭ'!G22/G28)</f>
        <v>0</v>
      </c>
      <c r="H29" s="177">
        <f>IF(H28=0,0,'Баланс ЭЭ'!H22/H28)</f>
        <v>0</v>
      </c>
      <c r="I29" s="177">
        <f>IF(I28=0,0,'Баланс ЭЭ'!I22/I28)</f>
        <v>0</v>
      </c>
      <c r="J29" s="177">
        <f>IF(J28=0,0,'Баланс ЭЭ'!J22/J28)</f>
        <v>0</v>
      </c>
      <c r="K29" s="178">
        <f>IF(K28=0,0,'Баланс ЭЭ'!K22/K28)</f>
        <v>0</v>
      </c>
      <c r="L29" s="38"/>
      <c r="M29" s="57"/>
      <c r="R29" s="201" t="s">
        <v>198</v>
      </c>
      <c r="S29" s="201" t="s">
        <v>145</v>
      </c>
    </row>
    <row r="30" spans="1:20" ht="22.5" hidden="1">
      <c r="A30" s="201">
        <f>NOT($O$27)*1</f>
        <v>0</v>
      </c>
      <c r="B30" s="201">
        <v>2</v>
      </c>
      <c r="D30" s="32"/>
      <c r="E30" s="128" t="str">
        <f>"1.0.2."&amp;(ROW()-ROW($E$30))/2+1&amp;"."</f>
        <v>1.0.2.1.</v>
      </c>
      <c r="F30" s="204">
        <f>'Баланс ЭЭ'!F23</f>
        <v>0</v>
      </c>
      <c r="G30" s="116">
        <f>SUM(H30:K30)</f>
        <v>0</v>
      </c>
      <c r="H30" s="120"/>
      <c r="I30" s="120"/>
      <c r="J30" s="120"/>
      <c r="K30" s="121"/>
      <c r="L30" s="38"/>
      <c r="M30" s="57"/>
      <c r="P30" s="201">
        <f>IF(ISERROR(INDEX(NET_ID,MATCH(F30,NET_GROUP,0))),0,INDEX(NET_ID,MATCH(F30,NET_GROUP,0)))</f>
        <v>0</v>
      </c>
      <c r="R30" s="201" t="s">
        <v>198</v>
      </c>
      <c r="T30" s="201">
        <f>F30</f>
        <v>0</v>
      </c>
    </row>
    <row r="31" spans="1:20" ht="11.25" hidden="1">
      <c r="A31" s="201">
        <f>NOT($O$27)*1</f>
        <v>0</v>
      </c>
      <c r="D31" s="32"/>
      <c r="E31" s="124"/>
      <c r="F31" s="180" t="s">
        <v>145</v>
      </c>
      <c r="G31" s="177">
        <f>IF(G30=0,0,'Баланс ЭЭ'!G23/G30)</f>
        <v>0</v>
      </c>
      <c r="H31" s="177">
        <f>IF(H30=0,0,'Баланс ЭЭ'!H23/H30)</f>
        <v>0</v>
      </c>
      <c r="I31" s="177">
        <f>IF(I30=0,0,'Баланс ЭЭ'!I23/I30)</f>
        <v>0</v>
      </c>
      <c r="J31" s="177">
        <f>IF(J30=0,0,'Баланс ЭЭ'!J23/J30)</f>
        <v>0</v>
      </c>
      <c r="K31" s="178">
        <f>IF(K30=0,0,'Баланс ЭЭ'!K23/K30)</f>
        <v>0</v>
      </c>
      <c r="L31" s="38"/>
      <c r="M31" s="57"/>
      <c r="P31" s="201">
        <f>IF(ISERROR(INDEX(NET_ID,MATCH(F30,NET_GROUP,0))),0,INDEX(NET_ID,MATCH(F30,NET_GROUP,0)))</f>
        <v>0</v>
      </c>
      <c r="R31" s="201" t="s">
        <v>198</v>
      </c>
      <c r="S31" s="201" t="s">
        <v>145</v>
      </c>
      <c r="T31" s="201">
        <f>F30</f>
        <v>0</v>
      </c>
    </row>
    <row r="32" spans="2:15" ht="11.25">
      <c r="B32" s="201">
        <v>2</v>
      </c>
      <c r="C32" s="91"/>
      <c r="D32" s="32"/>
      <c r="E32" s="93"/>
      <c r="F32" s="134"/>
      <c r="G32" s="129"/>
      <c r="H32" s="129"/>
      <c r="I32" s="129"/>
      <c r="J32" s="129"/>
      <c r="K32" s="130"/>
      <c r="L32" s="38"/>
      <c r="M32" s="57"/>
      <c r="O32" s="201">
        <v>0</v>
      </c>
    </row>
    <row r="33" spans="4:18" ht="33.75" customHeight="1">
      <c r="D33" s="32"/>
      <c r="E33" s="124" t="s">
        <v>66</v>
      </c>
      <c r="F33" s="125" t="s">
        <v>140</v>
      </c>
      <c r="G33" s="116">
        <f>SUM(I33:K33)</f>
        <v>0</v>
      </c>
      <c r="H33" s="119"/>
      <c r="I33" s="116">
        <f>I35</f>
        <v>0</v>
      </c>
      <c r="J33" s="116">
        <f>J35+J36</f>
        <v>0</v>
      </c>
      <c r="K33" s="117">
        <f>K37</f>
        <v>0</v>
      </c>
      <c r="L33" s="38"/>
      <c r="M33" s="57"/>
      <c r="R33" s="201" t="s">
        <v>199</v>
      </c>
    </row>
    <row r="34" spans="4:18" ht="15" customHeight="1">
      <c r="D34" s="32"/>
      <c r="E34" s="124"/>
      <c r="F34" s="127" t="s">
        <v>168</v>
      </c>
      <c r="G34" s="119"/>
      <c r="H34" s="119"/>
      <c r="I34" s="161"/>
      <c r="J34" s="161"/>
      <c r="K34" s="162"/>
      <c r="L34" s="38"/>
      <c r="M34" s="57"/>
      <c r="R34" s="201" t="s">
        <v>200</v>
      </c>
    </row>
    <row r="35" spans="4:19" ht="26.25" customHeight="1">
      <c r="D35" s="32"/>
      <c r="E35" s="124" t="s">
        <v>151</v>
      </c>
      <c r="F35" s="174" t="s">
        <v>133</v>
      </c>
      <c r="G35" s="116">
        <f>SUM(I35:K35)</f>
        <v>0</v>
      </c>
      <c r="H35" s="119"/>
      <c r="I35" s="120"/>
      <c r="J35" s="120"/>
      <c r="K35" s="118"/>
      <c r="L35" s="38"/>
      <c r="M35" s="57"/>
      <c r="R35" s="201" t="s">
        <v>200</v>
      </c>
      <c r="S35" s="201" t="s">
        <v>133</v>
      </c>
    </row>
    <row r="36" spans="4:19" ht="26.25" customHeight="1">
      <c r="D36" s="32"/>
      <c r="E36" s="124" t="s">
        <v>152</v>
      </c>
      <c r="F36" s="174" t="s">
        <v>134</v>
      </c>
      <c r="G36" s="116">
        <f>SUM(I36:K36)</f>
        <v>0</v>
      </c>
      <c r="H36" s="119"/>
      <c r="I36" s="119"/>
      <c r="J36" s="120"/>
      <c r="K36" s="118"/>
      <c r="L36" s="38"/>
      <c r="M36" s="57"/>
      <c r="R36" s="201" t="s">
        <v>200</v>
      </c>
      <c r="S36" s="201" t="s">
        <v>134</v>
      </c>
    </row>
    <row r="37" spans="4:19" ht="26.25" customHeight="1">
      <c r="D37" s="32"/>
      <c r="E37" s="124" t="s">
        <v>153</v>
      </c>
      <c r="F37" s="174" t="s">
        <v>135</v>
      </c>
      <c r="G37" s="116">
        <f>SUM(I37:K37)</f>
        <v>0</v>
      </c>
      <c r="H37" s="119"/>
      <c r="I37" s="119"/>
      <c r="J37" s="119"/>
      <c r="K37" s="121"/>
      <c r="L37" s="38"/>
      <c r="M37" s="57"/>
      <c r="R37" s="201" t="s">
        <v>200</v>
      </c>
      <c r="S37" s="201" t="s">
        <v>135</v>
      </c>
    </row>
    <row r="38" spans="3:18" ht="33.75" customHeight="1">
      <c r="C38" s="140" t="s">
        <v>143</v>
      </c>
      <c r="D38" s="32"/>
      <c r="E38" s="124" t="s">
        <v>142</v>
      </c>
      <c r="F38" s="125" t="s">
        <v>167</v>
      </c>
      <c r="G38" s="116">
        <f>SUM(H38:K38)</f>
        <v>18.131</v>
      </c>
      <c r="H38" s="116">
        <f>SUMIF($Q40:$Q46,"="&amp;$Q38,H40:H46)</f>
        <v>0</v>
      </c>
      <c r="I38" s="116">
        <f>SUMIF($Q40:$Q46,"="&amp;$Q38,I40:I46)</f>
        <v>0</v>
      </c>
      <c r="J38" s="116">
        <f>SUMIF($Q40:$Q46,"="&amp;$Q38,J40:J46)</f>
        <v>13.497</v>
      </c>
      <c r="K38" s="117">
        <f>SUMIF($Q40:$Q46,"="&amp;$Q38,K40:K46)</f>
        <v>4.634</v>
      </c>
      <c r="L38" s="38"/>
      <c r="M38" s="57"/>
      <c r="Q38" s="201">
        <v>5</v>
      </c>
      <c r="R38" s="201" t="s">
        <v>167</v>
      </c>
    </row>
    <row r="39" spans="4:19" ht="11.25">
      <c r="D39" s="32"/>
      <c r="E39" s="124"/>
      <c r="F39" s="180" t="s">
        <v>145</v>
      </c>
      <c r="G39" s="177">
        <f>IF(G38=0,0,'Баланс ЭЭ'!G30/G38)</f>
        <v>2985.4848932767086</v>
      </c>
      <c r="H39" s="177">
        <f>IF(H38=0,0,'Баланс ЭЭ'!H30/H38)</f>
        <v>0</v>
      </c>
      <c r="I39" s="177">
        <f>IF(I38=0,0,'Баланс ЭЭ'!I30/I38)</f>
        <v>0</v>
      </c>
      <c r="J39" s="177">
        <f>IF(J38=0,0,'Баланс ЭЭ'!J30/J38)</f>
        <v>3420.0359071465764</v>
      </c>
      <c r="K39" s="178">
        <f>IF(K38=0,0,'Баланс ЭЭ'!K30/K38)</f>
        <v>1719.8105224951794</v>
      </c>
      <c r="L39" s="38"/>
      <c r="M39" s="57"/>
      <c r="R39" s="201" t="s">
        <v>167</v>
      </c>
      <c r="S39" s="201" t="s">
        <v>145</v>
      </c>
    </row>
    <row r="40" spans="1:20" ht="11.25">
      <c r="A40" s="201">
        <f aca="true" t="shared" si="1" ref="A40:A45">NOT($O$46)*1</f>
        <v>0</v>
      </c>
      <c r="B40" s="201">
        <v>2</v>
      </c>
      <c r="D40" s="32"/>
      <c r="E40" s="128" t="str">
        <f>"1.2."&amp;(ROW()-ROW($E$40))/2+1&amp;"."</f>
        <v>1.2.1.</v>
      </c>
      <c r="F40" s="148" t="str">
        <f>'Баланс ЭЭ'!F31</f>
        <v>ОАО "Аэропорт "Пулково"</v>
      </c>
      <c r="G40" s="116">
        <f>SUM(H40:K40)</f>
        <v>2.145</v>
      </c>
      <c r="H40" s="120"/>
      <c r="I40" s="120"/>
      <c r="J40" s="120">
        <v>1.353</v>
      </c>
      <c r="K40" s="222">
        <v>0.792</v>
      </c>
      <c r="L40" s="38"/>
      <c r="M40" s="57"/>
      <c r="P40" s="201">
        <f>IF(ISERROR(INDEX(NET_ID,MATCH(F40,NET_GROUP,0))),0,INDEX(NET_ID,MATCH(F40,NET_GROUP,0)))</f>
        <v>26420583</v>
      </c>
      <c r="Q40" s="201">
        <v>5</v>
      </c>
      <c r="R40" s="201" t="s">
        <v>167</v>
      </c>
      <c r="T40" s="201" t="str">
        <f>F40</f>
        <v>ОАО "Аэропорт "Пулково"</v>
      </c>
    </row>
    <row r="41" spans="1:20" ht="11.25">
      <c r="A41" s="201">
        <f t="shared" si="1"/>
        <v>0</v>
      </c>
      <c r="D41" s="32"/>
      <c r="E41" s="124"/>
      <c r="F41" s="180" t="s">
        <v>145</v>
      </c>
      <c r="G41" s="177">
        <f>IF(G40=0,0,'Баланс ЭЭ'!G31/G40)</f>
        <v>2442.8083916083933</v>
      </c>
      <c r="H41" s="177">
        <f>IF(H40=0,0,'Баланс ЭЭ'!H31/H40)</f>
        <v>0</v>
      </c>
      <c r="I41" s="177">
        <f>IF(I40=0,0,'Баланс ЭЭ'!I31/I40)</f>
        <v>0</v>
      </c>
      <c r="J41" s="177">
        <f>IF(J40=0,0,'Баланс ЭЭ'!J31/J40)</f>
        <v>3515.1359008065638</v>
      </c>
      <c r="K41" s="178">
        <f>IF(K40=0,0,'Баланс ЭЭ'!K31/K40)</f>
        <v>610.9155633948535</v>
      </c>
      <c r="L41" s="38"/>
      <c r="M41" s="57"/>
      <c r="P41" s="201">
        <f>IF(ISERROR(INDEX(NET_ID,MATCH(F40,NET_GROUP,0))),0,INDEX(NET_ID,MATCH(F40,NET_GROUP,0)))</f>
        <v>26420583</v>
      </c>
      <c r="R41" s="201" t="s">
        <v>167</v>
      </c>
      <c r="S41" s="201" t="s">
        <v>145</v>
      </c>
      <c r="T41" s="201" t="str">
        <f>F40</f>
        <v>ОАО "Аэропорт "Пулково"</v>
      </c>
    </row>
    <row r="42" spans="1:20" ht="11.25">
      <c r="A42" s="201">
        <f t="shared" si="1"/>
        <v>0</v>
      </c>
      <c r="B42" s="201">
        <v>2</v>
      </c>
      <c r="D42" s="32"/>
      <c r="E42" s="128" t="str">
        <f>"1.2."&amp;(ROW()-ROW($E$40))/2+1&amp;"."</f>
        <v>1.2.2.</v>
      </c>
      <c r="F42" s="148" t="str">
        <f>'Баланс ЭЭ'!F32</f>
        <v>ОАО "Петербургская сбытовая компания"</v>
      </c>
      <c r="G42" s="116">
        <f>SUM(H42:K42)</f>
        <v>9.118</v>
      </c>
      <c r="H42" s="120"/>
      <c r="I42" s="120"/>
      <c r="J42" s="120">
        <f>4.692+J59+J86</f>
        <v>5.609</v>
      </c>
      <c r="K42" s="120">
        <f>3.1035+K59+K86</f>
        <v>3.509</v>
      </c>
      <c r="L42" s="38"/>
      <c r="M42" s="57"/>
      <c r="P42" s="201">
        <f>IF(ISERROR(INDEX(NET_ID,MATCH(F42,NET_GROUP,0))),0,INDEX(NET_ID,MATCH(F42,NET_GROUP,0)))</f>
        <v>26424359</v>
      </c>
      <c r="Q42" s="201">
        <v>5</v>
      </c>
      <c r="R42" s="201" t="s">
        <v>167</v>
      </c>
      <c r="T42" s="201" t="str">
        <f>F42</f>
        <v>ОАО "Петербургская сбытовая компания"</v>
      </c>
    </row>
    <row r="43" spans="1:20" ht="11.25">
      <c r="A43" s="201">
        <f t="shared" si="1"/>
        <v>0</v>
      </c>
      <c r="D43" s="32"/>
      <c r="E43" s="124"/>
      <c r="F43" s="180" t="s">
        <v>145</v>
      </c>
      <c r="G43" s="177">
        <f>IF($G$42=0,0,'Баланс ЭЭ'!$G$32/$G$42*1000)</f>
        <v>4482784.667690282</v>
      </c>
      <c r="H43" s="177">
        <f>IF($H$42=0,0,'Баланс ЭЭ'!$H$32/$H$42*1000)</f>
        <v>0</v>
      </c>
      <c r="I43" s="177">
        <f>IF($I$42=0,0,'Баланс ЭЭ'!$I$32/$I$42*1000)</f>
        <v>0</v>
      </c>
      <c r="J43" s="177">
        <f>IF($J$42=0,0,'Баланс ЭЭ'!$J$32/$J$42*1000)</f>
        <v>5984348.939414852</v>
      </c>
      <c r="K43" s="178">
        <f>IF($K$42=0,0,'Баланс ЭЭ'!$K$32/$K$42*1000)</f>
        <v>2082592.5901459365</v>
      </c>
      <c r="L43" s="38"/>
      <c r="M43" s="57"/>
      <c r="P43" s="201">
        <f>IF(ISERROR(INDEX(NET_ID,MATCH(F42,NET_GROUP,0))),0,INDEX(NET_ID,MATCH(F42,NET_GROUP,0)))</f>
        <v>26424359</v>
      </c>
      <c r="R43" s="201" t="s">
        <v>167</v>
      </c>
      <c r="S43" s="201" t="s">
        <v>145</v>
      </c>
      <c r="T43" s="201" t="str">
        <f>F42</f>
        <v>ОАО "Петербургская сбытовая компания"</v>
      </c>
    </row>
    <row r="44" spans="1:20" ht="11.25">
      <c r="A44" s="201">
        <f t="shared" si="1"/>
        <v>0</v>
      </c>
      <c r="B44" s="201">
        <v>2</v>
      </c>
      <c r="D44" s="32"/>
      <c r="E44" s="128" t="str">
        <f>"1.2."&amp;(ROW()-ROW($E$40))/2+1&amp;"."</f>
        <v>1.2.3.</v>
      </c>
      <c r="F44" s="148" t="str">
        <f>'Баланс ЭЭ'!F33</f>
        <v>Прочие поставщики</v>
      </c>
      <c r="G44" s="116">
        <f>SUM(H44:K44)</f>
        <v>6.868</v>
      </c>
      <c r="H44" s="120"/>
      <c r="I44" s="120"/>
      <c r="J44" s="120">
        <v>6.535</v>
      </c>
      <c r="K44" s="222">
        <v>0.333</v>
      </c>
      <c r="L44" s="38"/>
      <c r="M44" s="57"/>
      <c r="P44" s="201">
        <f>IF(ISERROR(INDEX(NET_ID,MATCH(F44,NET_GROUP,0))),0,INDEX(NET_ID,MATCH(F44,NET_GROUP,0)))</f>
        <v>0</v>
      </c>
      <c r="Q44" s="201">
        <v>5</v>
      </c>
      <c r="R44" s="201" t="s">
        <v>167</v>
      </c>
      <c r="T44" s="201" t="str">
        <f>F44</f>
        <v>Прочие поставщики</v>
      </c>
    </row>
    <row r="45" spans="1:20" ht="11.25">
      <c r="A45" s="201">
        <f t="shared" si="1"/>
        <v>0</v>
      </c>
      <c r="D45" s="32"/>
      <c r="E45" s="124"/>
      <c r="F45" s="180" t="s">
        <v>145</v>
      </c>
      <c r="G45" s="177">
        <f>IF($G$44=0,0,'Баланс ЭЭ'!$G$33/$G$44*1000)</f>
        <v>1167147.9324403026</v>
      </c>
      <c r="H45" s="177">
        <f>IF($H$44=0,0,'Баланс ЭЭ'!$H$33/$H$44*1000)</f>
        <v>0</v>
      </c>
      <c r="I45" s="177">
        <f>IF($I$44=0,0,'Баланс ЭЭ'!$I$33/$I$44*1000)</f>
        <v>0</v>
      </c>
      <c r="J45" s="177">
        <f>IF($J$44=0,0,'Баланс ЭЭ'!$J$33/$J$44*1000)</f>
        <v>1199392.8942292503</v>
      </c>
      <c r="K45" s="178">
        <f>IF($K$44=0,0,'Баланс ЭЭ'!$K$33/$K$44*1000)</f>
        <v>534352.6612968408</v>
      </c>
      <c r="L45" s="38"/>
      <c r="M45" s="57"/>
      <c r="P45" s="201">
        <f>IF(ISERROR(INDEX(NET_ID,MATCH(F44,NET_GROUP,0))),0,INDEX(NET_ID,MATCH(F44,NET_GROUP,0)))</f>
        <v>0</v>
      </c>
      <c r="R45" s="201" t="s">
        <v>167</v>
      </c>
      <c r="S45" s="201" t="s">
        <v>145</v>
      </c>
      <c r="T45" s="201" t="str">
        <f>F44</f>
        <v>Прочие поставщики</v>
      </c>
    </row>
    <row r="46" spans="2:15" ht="11.25">
      <c r="B46" s="201">
        <v>2</v>
      </c>
      <c r="C46" s="91"/>
      <c r="D46" s="32"/>
      <c r="E46" s="93"/>
      <c r="F46" s="191"/>
      <c r="G46" s="129"/>
      <c r="H46" s="129"/>
      <c r="I46" s="129"/>
      <c r="J46" s="129"/>
      <c r="K46" s="130"/>
      <c r="L46" s="38"/>
      <c r="M46" s="57"/>
      <c r="O46" s="201">
        <v>1</v>
      </c>
    </row>
    <row r="47" spans="1:21" s="57" customFormat="1" ht="41.25" customHeight="1">
      <c r="A47" s="195"/>
      <c r="B47" s="195"/>
      <c r="C47" s="182"/>
      <c r="D47" s="32"/>
      <c r="E47" s="138" t="s">
        <v>60</v>
      </c>
      <c r="F47" s="153" t="s">
        <v>169</v>
      </c>
      <c r="G47" s="132">
        <f>SUM(H47:K47)</f>
        <v>0.44300000000000006</v>
      </c>
      <c r="H47" s="168">
        <f>H50+H52</f>
        <v>0</v>
      </c>
      <c r="I47" s="168">
        <f>I50+I52</f>
        <v>0</v>
      </c>
      <c r="J47" s="168">
        <f>J50+J52</f>
        <v>0.342</v>
      </c>
      <c r="K47" s="169">
        <f>K50+K52</f>
        <v>0.101</v>
      </c>
      <c r="L47" s="38"/>
      <c r="O47" s="195"/>
      <c r="P47" s="195"/>
      <c r="Q47" s="195"/>
      <c r="R47" s="201" t="s">
        <v>201</v>
      </c>
      <c r="S47" s="201"/>
      <c r="T47" s="201"/>
      <c r="U47" s="98"/>
    </row>
    <row r="48" spans="1:21" s="57" customFormat="1" ht="15" customHeight="1">
      <c r="A48" s="195"/>
      <c r="B48" s="195"/>
      <c r="C48" s="182"/>
      <c r="D48" s="32"/>
      <c r="E48" s="151"/>
      <c r="F48" s="183" t="s">
        <v>170</v>
      </c>
      <c r="G48" s="184">
        <f>IF(G15=0,0,G47/G15*100)</f>
        <v>2.4432900251443774</v>
      </c>
      <c r="H48" s="184">
        <f>IF(H15=0,0,H47/H15*100)</f>
        <v>0</v>
      </c>
      <c r="I48" s="184">
        <f>IF(I15=0,0,I47/I15*100)</f>
        <v>0</v>
      </c>
      <c r="J48" s="184">
        <f>IF(J15=0,0,J47/J15*100)</f>
        <v>2.533896421426984</v>
      </c>
      <c r="K48" s="185">
        <f>IF(K15=0,0,K47/K15*100)</f>
        <v>2.179542511868796</v>
      </c>
      <c r="L48" s="38"/>
      <c r="O48" s="195"/>
      <c r="P48" s="195"/>
      <c r="Q48" s="195"/>
      <c r="R48" s="201" t="s">
        <v>202</v>
      </c>
      <c r="S48" s="201"/>
      <c r="T48" s="201"/>
      <c r="U48" s="98"/>
    </row>
    <row r="49" spans="3:19" ht="11.25">
      <c r="C49" s="140"/>
      <c r="D49" s="32"/>
      <c r="E49" s="128"/>
      <c r="F49" s="181" t="s">
        <v>145</v>
      </c>
      <c r="G49" s="175">
        <f>IF(G47=0,0,'Баланс ЭЭ'!G35/G47)</f>
        <v>3867.69891059308</v>
      </c>
      <c r="H49" s="175">
        <f>IF(H47=0,0,'Баланс ЭЭ'!H35/H47)</f>
        <v>0</v>
      </c>
      <c r="I49" s="175">
        <f>IF(I47=0,0,'Баланс ЭЭ'!I35/I47)</f>
        <v>0</v>
      </c>
      <c r="J49" s="175">
        <f>IF(J47=0,0,'Баланс ЭЭ'!J35/J47)</f>
        <v>4224.60535467484</v>
      </c>
      <c r="K49" s="176">
        <f>IF(K47=0,0,'Баланс ЭЭ'!K35/K47)</f>
        <v>2659.164218751875</v>
      </c>
      <c r="L49" s="38"/>
      <c r="M49" s="57"/>
      <c r="R49" s="201" t="s">
        <v>202</v>
      </c>
      <c r="S49" s="201" t="s">
        <v>145</v>
      </c>
    </row>
    <row r="50" spans="3:18" ht="33.75" customHeight="1">
      <c r="C50" s="140"/>
      <c r="D50" s="32"/>
      <c r="E50" s="128" t="s">
        <v>159</v>
      </c>
      <c r="F50" s="166" t="s">
        <v>157</v>
      </c>
      <c r="G50" s="116">
        <f>SUM(H50:K50)</f>
        <v>0.4105</v>
      </c>
      <c r="H50" s="120"/>
      <c r="I50" s="120"/>
      <c r="J50" s="215">
        <v>0.315</v>
      </c>
      <c r="K50" s="216">
        <v>0.0955</v>
      </c>
      <c r="L50" s="38"/>
      <c r="M50" s="57"/>
      <c r="R50" s="201" t="s">
        <v>157</v>
      </c>
    </row>
    <row r="51" spans="3:19" ht="11.25">
      <c r="C51" s="140"/>
      <c r="D51" s="32"/>
      <c r="E51" s="151"/>
      <c r="F51" s="194" t="s">
        <v>145</v>
      </c>
      <c r="G51" s="177">
        <f>IF(G50=0,0,'Баланс ЭЭ'!G37/G50)</f>
        <v>3724.088227509708</v>
      </c>
      <c r="H51" s="177">
        <f>IF(H50=0,0,'Баланс ЭЭ'!H37/H50)</f>
        <v>0</v>
      </c>
      <c r="I51" s="177">
        <f>IF(I50=0,0,'Баланс ЭЭ'!I37/I50)</f>
        <v>0</v>
      </c>
      <c r="J51" s="177">
        <f>IF(J50=0,0,'Баланс ЭЭ'!J37/J50)</f>
        <v>4252.419146980304</v>
      </c>
      <c r="K51" s="178">
        <f>IF(K50=0,0,'Баланс ЭЭ'!K37/K50)</f>
        <v>1981.4260323972715</v>
      </c>
      <c r="L51" s="38"/>
      <c r="M51" s="57"/>
      <c r="R51" s="201" t="s">
        <v>157</v>
      </c>
      <c r="S51" s="201" t="s">
        <v>145</v>
      </c>
    </row>
    <row r="52" spans="3:18" ht="33.75" customHeight="1">
      <c r="C52" s="188" t="s">
        <v>143</v>
      </c>
      <c r="D52" s="32"/>
      <c r="E52" s="128" t="s">
        <v>160</v>
      </c>
      <c r="F52" s="166" t="s">
        <v>171</v>
      </c>
      <c r="G52" s="116">
        <f>SUM(H52:K52)</f>
        <v>0.0325</v>
      </c>
      <c r="H52" s="116">
        <f>H54+H66</f>
        <v>0</v>
      </c>
      <c r="I52" s="116">
        <f>I54+I66</f>
        <v>0</v>
      </c>
      <c r="J52" s="116">
        <f>J54+J66</f>
        <v>0.027</v>
      </c>
      <c r="K52" s="117">
        <f>K54+K66</f>
        <v>0.0055</v>
      </c>
      <c r="L52" s="38"/>
      <c r="M52" s="57"/>
      <c r="R52" s="201" t="s">
        <v>171</v>
      </c>
    </row>
    <row r="53" spans="3:19" ht="11.25">
      <c r="C53" s="140"/>
      <c r="D53" s="32"/>
      <c r="E53" s="151"/>
      <c r="F53" s="194" t="s">
        <v>145</v>
      </c>
      <c r="G53" s="177">
        <f>IF(G52=0,0,'Баланс ЭЭ'!G38/G52)</f>
        <v>5681.612307692308</v>
      </c>
      <c r="H53" s="177">
        <f>IF(H52=0,0,'Баланс ЭЭ'!H38/H52)</f>
        <v>0</v>
      </c>
      <c r="I53" s="177">
        <f>IF(I52=0,0,'Баланс ЭЭ'!I38/I52)</f>
        <v>0</v>
      </c>
      <c r="J53" s="177">
        <f>IF(J52=0,0,'Баланс ЭЭ'!J38/J52)</f>
        <v>3900.111111111111</v>
      </c>
      <c r="K53" s="178">
        <f>IF(K52=0,0,'Баланс ЭЭ'!K38/K52)</f>
        <v>14427.163636363635</v>
      </c>
      <c r="L53" s="38"/>
      <c r="M53" s="57"/>
      <c r="R53" s="201" t="s">
        <v>171</v>
      </c>
      <c r="S53" s="201" t="s">
        <v>145</v>
      </c>
    </row>
    <row r="54" spans="3:18" ht="26.25" customHeight="1">
      <c r="C54" s="140"/>
      <c r="D54" s="32"/>
      <c r="E54" s="124" t="s">
        <v>221</v>
      </c>
      <c r="F54" s="186" t="s">
        <v>222</v>
      </c>
      <c r="G54" s="116">
        <f>SUM(H54:K54)</f>
        <v>0.0325</v>
      </c>
      <c r="H54" s="116">
        <f>SUMIF($Q56:$Q65,"="&amp;$Q$54,H56:H65)</f>
        <v>0</v>
      </c>
      <c r="I54" s="116">
        <f>SUMIF($Q56:$Q65,"="&amp;$Q$54,I56:I65)</f>
        <v>0</v>
      </c>
      <c r="J54" s="116">
        <f>SUMIF($Q56:$Q65,"="&amp;$Q$54,J56:J65)</f>
        <v>0.027</v>
      </c>
      <c r="K54" s="117">
        <f>SUMIF($Q56:$Q65,"="&amp;$Q$54,K56:K65)</f>
        <v>0.0055</v>
      </c>
      <c r="L54" s="38"/>
      <c r="M54" s="57"/>
      <c r="Q54" s="201">
        <v>5</v>
      </c>
      <c r="R54" s="201" t="s">
        <v>222</v>
      </c>
    </row>
    <row r="55" spans="3:19" ht="11.25">
      <c r="C55" s="140"/>
      <c r="D55" s="32"/>
      <c r="E55" s="151"/>
      <c r="F55" s="194" t="s">
        <v>145</v>
      </c>
      <c r="G55" s="177">
        <f>IF(G54=0,0,'Баланс ЭЭ'!G39/G54)</f>
        <v>5681.612307692308</v>
      </c>
      <c r="H55" s="177">
        <f>IF(H54=0,0,'Баланс ЭЭ'!H39/H54)</f>
        <v>0</v>
      </c>
      <c r="I55" s="177">
        <f>IF(I54=0,0,'Баланс ЭЭ'!I39/I54)</f>
        <v>0</v>
      </c>
      <c r="J55" s="177">
        <f>IF(J54=0,0,'Баланс ЭЭ'!J39/J54)</f>
        <v>3900.111111111111</v>
      </c>
      <c r="K55" s="178">
        <f>IF(K54=0,0,'Баланс ЭЭ'!K39/K54)</f>
        <v>14427.163636363635</v>
      </c>
      <c r="L55" s="38"/>
      <c r="M55" s="57"/>
      <c r="R55" s="201" t="s">
        <v>222</v>
      </c>
      <c r="S55" s="201" t="s">
        <v>145</v>
      </c>
    </row>
    <row r="56" spans="1:20" ht="11.25">
      <c r="A56" s="201">
        <f>NOT($O$65)*1</f>
        <v>0</v>
      </c>
      <c r="B56" s="201">
        <v>3</v>
      </c>
      <c r="D56" s="32"/>
      <c r="E56" s="279" t="str">
        <f>"2.2.1."&amp;(ROW()-ROW($E$56))/3+1&amp;"."</f>
        <v>2.2.1.1.</v>
      </c>
      <c r="F56" s="208" t="str">
        <f>'Баланс ЭЭ'!F40</f>
        <v>ОАО "Аэропорт "Пулково"</v>
      </c>
      <c r="G56" s="116">
        <f>SUM(H56:K56)</f>
        <v>0</v>
      </c>
      <c r="H56" s="120"/>
      <c r="I56" s="120"/>
      <c r="J56" s="120">
        <v>0</v>
      </c>
      <c r="K56" s="121">
        <v>0</v>
      </c>
      <c r="L56" s="38"/>
      <c r="M56" s="57"/>
      <c r="P56" s="201">
        <f>IF(ISERROR(INDEX(NET_ID,MATCH(F56,NET_GROUP,0))),0,INDEX(NET_ID,MATCH(F56,NET_GROUP,0)))</f>
        <v>26420583</v>
      </c>
      <c r="Q56" s="201">
        <v>5</v>
      </c>
      <c r="R56" s="201" t="s">
        <v>222</v>
      </c>
      <c r="T56" s="201" t="str">
        <f>F56</f>
        <v>ОАО "Аэропорт "Пулково"</v>
      </c>
    </row>
    <row r="57" spans="1:20" ht="11.25">
      <c r="A57" s="201">
        <f>NOT($O$65)*1</f>
        <v>0</v>
      </c>
      <c r="D57" s="32"/>
      <c r="E57" s="280"/>
      <c r="F57" s="207" t="s">
        <v>145</v>
      </c>
      <c r="G57" s="177">
        <f>IF(G56=0,0,'Баланс ЭЭ'!G40/G56)</f>
        <v>0</v>
      </c>
      <c r="H57" s="177">
        <f>IF(H56=0,0,'Баланс ЭЭ'!H40/H56)</f>
        <v>0</v>
      </c>
      <c r="I57" s="177">
        <f>IF(I56=0,0,'Баланс ЭЭ'!I40/I56)</f>
        <v>0</v>
      </c>
      <c r="J57" s="177">
        <f>IF(J56=0,0,'Баланс ЭЭ'!J40/J56)</f>
        <v>0</v>
      </c>
      <c r="K57" s="178">
        <f>IF(K56=0,0,'Баланс ЭЭ'!K40/K56)</f>
        <v>0</v>
      </c>
      <c r="L57" s="38"/>
      <c r="M57" s="57"/>
      <c r="P57" s="201">
        <f>IF(ISERROR(INDEX(NET_ID,MATCH(F56,NET_GROUP,0))),0,INDEX(NET_ID,MATCH(F56,NET_GROUP,0)))</f>
        <v>26420583</v>
      </c>
      <c r="R57" s="201" t="s">
        <v>222</v>
      </c>
      <c r="S57" s="201" t="s">
        <v>145</v>
      </c>
      <c r="T57" s="201" t="str">
        <f>F56</f>
        <v>ОАО "Аэропорт "Пулково"</v>
      </c>
    </row>
    <row r="58" spans="4:20" ht="11.25">
      <c r="D58" s="32"/>
      <c r="E58" s="280"/>
      <c r="F58" s="205" t="s">
        <v>223</v>
      </c>
      <c r="G58" s="159">
        <f>IF(ISERROR(G56/INDEX(G$21:G$22,MATCH($F56,$F$21:$F$22,0))),0,G56/INDEX(G$21:G$22,MATCH($F56,$F$21:$F$22,0))*100)</f>
        <v>0</v>
      </c>
      <c r="H58" s="159">
        <f>IF(ISERROR(H56/INDEX(H$21:H$22,MATCH($F56,$F$21:$F$22,0))),0,H56/INDEX(H$21:H$22,MATCH($F56,$F$21:$F$22,0))*100)</f>
        <v>0</v>
      </c>
      <c r="I58" s="159">
        <f>IF(ISERROR(I56/INDEX(I$21:I$22,MATCH($F56,$F$21:$F$22,0))),0,I56/INDEX(I$21:I$22,MATCH($F56,$F$21:$F$22,0))*100)</f>
        <v>0</v>
      </c>
      <c r="J58" s="159">
        <f>IF(ISERROR(J56/INDEX(J$21:J$22,MATCH($F56,$F$21:$F$22,0))),0,J56/INDEX(J$21:J$22,MATCH($F56,$F$21:$F$22,0))*100)</f>
        <v>0</v>
      </c>
      <c r="K58" s="210">
        <f>IF(ISERROR(K56/INDEX(K$21:K$22,MATCH($F56,$F$21:$F$22,0))),0,K56/INDEX(K$21:K$22,MATCH($F56,$F$21:$F$22,0))*100)</f>
        <v>0</v>
      </c>
      <c r="L58" s="38"/>
      <c r="M58" s="57"/>
      <c r="P58" s="201">
        <f>IF(ISERROR(INDEX(NET_ID,MATCH(F56,NET_GROUP,0))),0,INDEX(NET_ID,MATCH(F56,NET_GROUP,0)))</f>
        <v>26420583</v>
      </c>
      <c r="R58" s="201" t="s">
        <v>230</v>
      </c>
      <c r="T58" s="201" t="str">
        <f>F56</f>
        <v>ОАО "Аэропорт "Пулково"</v>
      </c>
    </row>
    <row r="59" spans="1:20" ht="11.25">
      <c r="A59" s="201">
        <f>NOT($O$65)*1</f>
        <v>0</v>
      </c>
      <c r="B59" s="201">
        <v>3</v>
      </c>
      <c r="D59" s="32"/>
      <c r="E59" s="279" t="str">
        <f>"2.2.1."&amp;(ROW()-ROW($E$56))/3+1&amp;"."</f>
        <v>2.2.1.2.</v>
      </c>
      <c r="F59" s="208" t="str">
        <f>'Баланс ЭЭ'!F42</f>
        <v>ОАО "Петербургская сбытовая компания"</v>
      </c>
      <c r="G59" s="116">
        <f>SUM(H59:K59)</f>
        <v>0.0325</v>
      </c>
      <c r="H59" s="120"/>
      <c r="I59" s="120"/>
      <c r="J59" s="120">
        <v>0.027</v>
      </c>
      <c r="K59" s="121">
        <v>0.0055</v>
      </c>
      <c r="L59" s="38"/>
      <c r="M59" s="57"/>
      <c r="P59" s="201">
        <f>IF(ISERROR(INDEX(NET_ID,MATCH(F59,NET_GROUP,0))),0,INDEX(NET_ID,MATCH(F59,NET_GROUP,0)))</f>
        <v>26424359</v>
      </c>
      <c r="Q59" s="201">
        <v>5</v>
      </c>
      <c r="R59" s="201" t="s">
        <v>222</v>
      </c>
      <c r="T59" s="201" t="str">
        <f>F59</f>
        <v>ОАО "Петербургская сбытовая компания"</v>
      </c>
    </row>
    <row r="60" spans="1:20" ht="11.25">
      <c r="A60" s="201">
        <f>NOT($O$65)*1</f>
        <v>0</v>
      </c>
      <c r="D60" s="32"/>
      <c r="E60" s="280"/>
      <c r="F60" s="207" t="s">
        <v>145</v>
      </c>
      <c r="G60" s="177">
        <f>IF($G$58=0,0,'Баланс ЭЭ'!$G$42/$G$58*1000)</f>
        <v>0</v>
      </c>
      <c r="H60" s="177">
        <f>IF($H$58=0,0,'Баланс ЭЭ'!$H$42/$H$58*1000)</f>
        <v>0</v>
      </c>
      <c r="I60" s="177">
        <f>IF($I$58=0,0,'Баланс ЭЭ'!$I$42/$I$58*1000)</f>
        <v>0</v>
      </c>
      <c r="J60" s="177">
        <f>IF($J$58=0,0,'Баланс ЭЭ'!$J$42/$J$58*1000)</f>
        <v>0</v>
      </c>
      <c r="K60" s="178">
        <f>IF($K$58=0,0,'Баланс ЭЭ'!$K$42/$K$58*1000)</f>
        <v>0</v>
      </c>
      <c r="L60" s="38"/>
      <c r="M60" s="57"/>
      <c r="P60" s="201">
        <f>IF(ISERROR(INDEX(NET_ID,MATCH(F59,NET_GROUP,0))),0,INDEX(NET_ID,MATCH(F59,NET_GROUP,0)))</f>
        <v>26424359</v>
      </c>
      <c r="R60" s="201" t="s">
        <v>222</v>
      </c>
      <c r="S60" s="201" t="s">
        <v>145</v>
      </c>
      <c r="T60" s="201" t="str">
        <f>F59</f>
        <v>ОАО "Петербургская сбытовая компания"</v>
      </c>
    </row>
    <row r="61" spans="4:20" ht="11.25">
      <c r="D61" s="32"/>
      <c r="E61" s="280"/>
      <c r="F61" s="205" t="s">
        <v>223</v>
      </c>
      <c r="G61" s="159">
        <f>IF(ISERROR(G59/INDEX(G$21:G$22,MATCH($F59,$F$21:$F$22,0))),0,G59/INDEX(G$21:G$22,MATCH($F59,$F$21:$F$22,0))*100)</f>
        <v>0</v>
      </c>
      <c r="H61" s="159">
        <f>IF(ISERROR(H59/INDEX(H$21:H$22,MATCH($F59,$F$21:$F$22,0))),0,H59/INDEX(H$21:H$22,MATCH($F59,$F$21:$F$22,0))*100)</f>
        <v>0</v>
      </c>
      <c r="I61" s="159">
        <f>IF(ISERROR(I59/INDEX(I$21:I$22,MATCH($F59,$F$21:$F$22,0))),0,I59/INDEX(I$21:I$22,MATCH($F59,$F$21:$F$22,0))*100)</f>
        <v>0</v>
      </c>
      <c r="J61" s="159">
        <f>IF(ISERROR(J59/INDEX(J$21:J$22,MATCH($F59,$F$21:$F$22,0))),0,J59/INDEX(J$21:J$22,MATCH($F59,$F$21:$F$22,0))*100)</f>
        <v>0</v>
      </c>
      <c r="K61" s="210">
        <f>IF(ISERROR(K59/INDEX(K$21:K$22,MATCH($F59,$F$21:$F$22,0))),0,K59/INDEX(K$21:K$22,MATCH($F59,$F$21:$F$22,0))*100)</f>
        <v>0</v>
      </c>
      <c r="L61" s="38"/>
      <c r="M61" s="57"/>
      <c r="P61" s="201">
        <f>IF(ISERROR(INDEX(NET_ID,MATCH(F59,NET_GROUP,0))),0,INDEX(NET_ID,MATCH(F59,NET_GROUP,0)))</f>
        <v>26424359</v>
      </c>
      <c r="R61" s="201" t="s">
        <v>230</v>
      </c>
      <c r="T61" s="201" t="str">
        <f>F59</f>
        <v>ОАО "Петербургская сбытовая компания"</v>
      </c>
    </row>
    <row r="62" spans="1:20" ht="11.25">
      <c r="A62" s="201">
        <f>NOT($O$65)*1</f>
        <v>0</v>
      </c>
      <c r="B62" s="201">
        <v>3</v>
      </c>
      <c r="D62" s="32"/>
      <c r="E62" s="279" t="str">
        <f>"2.2.1."&amp;(ROW()-ROW($E$56))/3+1&amp;"."</f>
        <v>2.2.1.3.</v>
      </c>
      <c r="F62" s="208" t="str">
        <f>'Баланс ЭЭ'!F44</f>
        <v>Прочие поставщики</v>
      </c>
      <c r="G62" s="116">
        <f>SUM(H62:K62)</f>
        <v>0</v>
      </c>
      <c r="H62" s="120"/>
      <c r="I62" s="120"/>
      <c r="J62" s="120">
        <v>0</v>
      </c>
      <c r="K62" s="121">
        <v>0</v>
      </c>
      <c r="L62" s="38"/>
      <c r="M62" s="57"/>
      <c r="P62" s="201">
        <f>IF(ISERROR(INDEX(NET_ID,MATCH(F62,NET_GROUP,0))),0,INDEX(NET_ID,MATCH(F62,NET_GROUP,0)))</f>
        <v>0</v>
      </c>
      <c r="Q62" s="201">
        <v>5</v>
      </c>
      <c r="R62" s="201" t="s">
        <v>222</v>
      </c>
      <c r="T62" s="201" t="str">
        <f>F62</f>
        <v>Прочие поставщики</v>
      </c>
    </row>
    <row r="63" spans="1:20" ht="11.25">
      <c r="A63" s="201">
        <f>NOT($O$65)*1</f>
        <v>0</v>
      </c>
      <c r="D63" s="32"/>
      <c r="E63" s="280"/>
      <c r="F63" s="207" t="s">
        <v>145</v>
      </c>
      <c r="G63" s="177">
        <f>IF($G$61=0,0,'Баланс ЭЭ'!$G$44/$G$61*1000)</f>
        <v>0</v>
      </c>
      <c r="H63" s="177">
        <f>IF($H$61=0,0,'Баланс ЭЭ'!$H$44/$H$61*1000)</f>
        <v>0</v>
      </c>
      <c r="I63" s="177">
        <f>IF($I$61=0,0,'Баланс ЭЭ'!$I$44/$I$61*1000)</f>
        <v>0</v>
      </c>
      <c r="J63" s="177">
        <f>IF($J$61=0,0,'Баланс ЭЭ'!$J$44/$J$61*1000)</f>
        <v>0</v>
      </c>
      <c r="K63" s="178">
        <f>IF($K$61=0,0,'Баланс ЭЭ'!$K$44/$K$61*1000)</f>
        <v>0</v>
      </c>
      <c r="L63" s="38"/>
      <c r="M63" s="57"/>
      <c r="P63" s="201">
        <f>IF(ISERROR(INDEX(NET_ID,MATCH(F62,NET_GROUP,0))),0,INDEX(NET_ID,MATCH(F62,NET_GROUP,0)))</f>
        <v>0</v>
      </c>
      <c r="R63" s="201" t="s">
        <v>222</v>
      </c>
      <c r="S63" s="201" t="s">
        <v>145</v>
      </c>
      <c r="T63" s="201" t="str">
        <f>F62</f>
        <v>Прочие поставщики</v>
      </c>
    </row>
    <row r="64" spans="4:20" ht="11.25">
      <c r="D64" s="32"/>
      <c r="E64" s="280"/>
      <c r="F64" s="205" t="s">
        <v>223</v>
      </c>
      <c r="G64" s="159">
        <f>IF(ISERROR(G62/INDEX(G$21:G$22,MATCH($F62,$F$21:$F$22,0))),0,G62/INDEX(G$21:G$22,MATCH($F62,$F$21:$F$22,0))*100)</f>
        <v>0</v>
      </c>
      <c r="H64" s="159">
        <f>IF(ISERROR(H62/INDEX(H$21:H$22,MATCH($F62,$F$21:$F$22,0))),0,H62/INDEX(H$21:H$22,MATCH($F62,$F$21:$F$22,0))*100)</f>
        <v>0</v>
      </c>
      <c r="I64" s="159">
        <f>IF(ISERROR(I62/INDEX(I$21:I$22,MATCH($F62,$F$21:$F$22,0))),0,I62/INDEX(I$21:I$22,MATCH($F62,$F$21:$F$22,0))*100)</f>
        <v>0</v>
      </c>
      <c r="J64" s="159">
        <f>IF(ISERROR(J62/INDEX(J$21:J$22,MATCH($F62,$F$21:$F$22,0))),0,J62/INDEX(J$21:J$22,MATCH($F62,$F$21:$F$22,0))*100)</f>
        <v>0</v>
      </c>
      <c r="K64" s="210">
        <f>IF(ISERROR(K62/INDEX(K$21:K$22,MATCH($F62,$F$21:$F$22,0))),0,K62/INDEX(K$21:K$22,MATCH($F62,$F$21:$F$22,0))*100)</f>
        <v>0</v>
      </c>
      <c r="L64" s="38"/>
      <c r="M64" s="57"/>
      <c r="P64" s="201">
        <f>IF(ISERROR(INDEX(NET_ID,MATCH(F62,NET_GROUP,0))),0,INDEX(NET_ID,MATCH(F62,NET_GROUP,0)))</f>
        <v>0</v>
      </c>
      <c r="R64" s="201" t="s">
        <v>230</v>
      </c>
      <c r="T64" s="201" t="str">
        <f>F62</f>
        <v>Прочие поставщики</v>
      </c>
    </row>
    <row r="65" spans="2:15" ht="11.25">
      <c r="B65" s="201">
        <v>3</v>
      </c>
      <c r="D65" s="32"/>
      <c r="E65" s="93"/>
      <c r="F65" s="134"/>
      <c r="G65" s="129"/>
      <c r="H65" s="129"/>
      <c r="I65" s="129"/>
      <c r="J65" s="129"/>
      <c r="K65" s="130"/>
      <c r="L65" s="38"/>
      <c r="M65" s="57"/>
      <c r="O65" s="201">
        <v>1</v>
      </c>
    </row>
    <row r="66" spans="3:18" ht="33.75">
      <c r="C66" s="140"/>
      <c r="D66" s="32"/>
      <c r="E66" s="124" t="s">
        <v>224</v>
      </c>
      <c r="F66" s="186" t="s">
        <v>225</v>
      </c>
      <c r="G66" s="116">
        <f>SUM(H66:K66)</f>
        <v>0</v>
      </c>
      <c r="H66" s="116">
        <f>SUMIF($Q68:$Q71,"="&amp;$Q$66,H68:H71)</f>
        <v>0</v>
      </c>
      <c r="I66" s="116">
        <f>SUMIF($Q68:$Q71,"="&amp;$Q$66,I68:I71)</f>
        <v>0</v>
      </c>
      <c r="J66" s="116">
        <f>SUMIF($Q68:$Q71,"="&amp;$Q$66,J68:J71)</f>
        <v>0</v>
      </c>
      <c r="K66" s="117">
        <f>SUMIF($Q68:$Q71,"="&amp;$Q$66,K68:K71)</f>
        <v>0</v>
      </c>
      <c r="L66" s="38"/>
      <c r="M66" s="57"/>
      <c r="Q66" s="201">
        <v>5</v>
      </c>
      <c r="R66" s="201" t="s">
        <v>225</v>
      </c>
    </row>
    <row r="67" spans="3:19" ht="11.25">
      <c r="C67" s="140"/>
      <c r="D67" s="32"/>
      <c r="E67" s="151"/>
      <c r="F67" s="194" t="s">
        <v>145</v>
      </c>
      <c r="G67" s="177">
        <f>IF(G66=0,0,'Баланс ЭЭ'!G47/G66)</f>
        <v>0</v>
      </c>
      <c r="H67" s="177">
        <f>IF(H66=0,0,'Баланс ЭЭ'!H47/H66)</f>
        <v>0</v>
      </c>
      <c r="I67" s="177">
        <f>IF(I66=0,0,'Баланс ЭЭ'!I47/I66)</f>
        <v>0</v>
      </c>
      <c r="J67" s="177">
        <f>IF(J66=0,0,'Баланс ЭЭ'!J47/J66)</f>
        <v>0</v>
      </c>
      <c r="K67" s="178">
        <f>IF(K66=0,0,'Баланс ЭЭ'!K47/K66)</f>
        <v>0</v>
      </c>
      <c r="L67" s="38"/>
      <c r="M67" s="57"/>
      <c r="R67" s="201" t="s">
        <v>225</v>
      </c>
      <c r="S67" s="201" t="s">
        <v>145</v>
      </c>
    </row>
    <row r="68" spans="1:20" ht="11.25" hidden="1">
      <c r="A68" s="201">
        <f>NOT($O$65)*1</f>
        <v>0</v>
      </c>
      <c r="B68" s="201">
        <v>3</v>
      </c>
      <c r="D68" s="32"/>
      <c r="E68" s="279" t="str">
        <f>"2.2.2."&amp;(ROW()-ROW($E$68))/3+1&amp;"."</f>
        <v>2.2.2.1.</v>
      </c>
      <c r="F68" s="208">
        <f>'Баланс ЭЭ'!F48</f>
        <v>0</v>
      </c>
      <c r="G68" s="116">
        <f>SUM(H68:K68)</f>
        <v>0</v>
      </c>
      <c r="H68" s="120"/>
      <c r="I68" s="120"/>
      <c r="J68" s="120"/>
      <c r="K68" s="121"/>
      <c r="L68" s="38"/>
      <c r="M68" s="57"/>
      <c r="P68" s="201">
        <f>IF(ISERROR(INDEX(NET_ID,MATCH(F68,NET_GROUP,0))),0,INDEX(NET_ID,MATCH(F68,NET_GROUP,0)))</f>
        <v>0</v>
      </c>
      <c r="Q68" s="201">
        <v>5</v>
      </c>
      <c r="R68" s="201" t="s">
        <v>225</v>
      </c>
      <c r="T68" s="201">
        <f>F68</f>
        <v>0</v>
      </c>
    </row>
    <row r="69" spans="1:20" ht="11.25" hidden="1">
      <c r="A69" s="201">
        <f>NOT($O$65)*1</f>
        <v>0</v>
      </c>
      <c r="D69" s="32"/>
      <c r="E69" s="280"/>
      <c r="F69" s="207" t="s">
        <v>145</v>
      </c>
      <c r="G69" s="177">
        <f>IF(G68=0,0,'Баланс ЭЭ'!G48/G68)</f>
        <v>0</v>
      </c>
      <c r="H69" s="177">
        <f>IF(H68=0,0,'Баланс ЭЭ'!H48/H68)</f>
        <v>0</v>
      </c>
      <c r="I69" s="177">
        <f>IF(I68=0,0,'Баланс ЭЭ'!I48/I68)</f>
        <v>0</v>
      </c>
      <c r="J69" s="177">
        <f>IF(J68=0,0,'Баланс ЭЭ'!J48/J68)</f>
        <v>0</v>
      </c>
      <c r="K69" s="178">
        <f>IF(K68=0,0,'Баланс ЭЭ'!K48/K68)</f>
        <v>0</v>
      </c>
      <c r="L69" s="38"/>
      <c r="M69" s="57"/>
      <c r="P69" s="201">
        <f>IF(ISERROR(INDEX(NET_ID,MATCH(F68,NET_GROUP,0))),0,INDEX(NET_ID,MATCH(F68,NET_GROUP,0)))</f>
        <v>0</v>
      </c>
      <c r="R69" s="201" t="s">
        <v>225</v>
      </c>
      <c r="S69" s="201" t="s">
        <v>145</v>
      </c>
      <c r="T69" s="201">
        <f>F68</f>
        <v>0</v>
      </c>
    </row>
    <row r="70" spans="4:20" ht="11.25" hidden="1">
      <c r="D70" s="32"/>
      <c r="E70" s="280"/>
      <c r="F70" s="205" t="s">
        <v>223</v>
      </c>
      <c r="G70" s="159">
        <f>IF(ISERROR(G68/INDEX(G$30:G$32,MATCH($F68,$F$30:$F$32,0))),0,G68/INDEX(G$30:G$32,MATCH($F68,$F$30:$F$32,0))*100)</f>
        <v>0</v>
      </c>
      <c r="H70" s="159">
        <f>IF(ISERROR(H68/INDEX(H$30:H$32,MATCH($F68,$F$30:$F$32,0))),0,H68/INDEX(H$30:H$32,MATCH($F68,$F$30:$F$32,0))*100)</f>
        <v>0</v>
      </c>
      <c r="I70" s="159">
        <f>IF(ISERROR(I68/INDEX(I$30:I$32,MATCH($F68,$F$30:$F$32,0))),0,I68/INDEX(I$30:I$32,MATCH($F68,$F$30:$F$32,0))*100)</f>
        <v>0</v>
      </c>
      <c r="J70" s="159">
        <f>IF(ISERROR(J68/INDEX(J$30:J$32,MATCH($F68,$F$30:$F$32,0))),0,J68/INDEX(J$30:J$32,MATCH($F68,$F$30:$F$32,0))*100)</f>
        <v>0</v>
      </c>
      <c r="K70" s="210">
        <f>IF(ISERROR(K68/INDEX(K$30:K$32,MATCH($F68,$F$30:$F$32,0))),0,K68/INDEX(K$30:K$32,MATCH($F68,$F$30:$F$32,0))*100)</f>
        <v>0</v>
      </c>
      <c r="L70" s="38"/>
      <c r="M70" s="57"/>
      <c r="P70" s="201">
        <f>IF(ISERROR(INDEX(NET_ID,MATCH(F68,NET_GROUP,0))),0,INDEX(NET_ID,MATCH(F68,NET_GROUP,0)))</f>
        <v>0</v>
      </c>
      <c r="R70" s="201" t="s">
        <v>231</v>
      </c>
      <c r="T70" s="201">
        <f>F68</f>
        <v>0</v>
      </c>
    </row>
    <row r="71" spans="2:15" ht="11.25">
      <c r="B71" s="201">
        <v>3</v>
      </c>
      <c r="D71" s="32"/>
      <c r="E71" s="93"/>
      <c r="F71" s="92"/>
      <c r="G71" s="129"/>
      <c r="H71" s="129"/>
      <c r="I71" s="129"/>
      <c r="J71" s="129"/>
      <c r="K71" s="130"/>
      <c r="L71" s="38"/>
      <c r="M71" s="57"/>
      <c r="O71" s="201">
        <v>0</v>
      </c>
    </row>
    <row r="72" spans="4:18" ht="41.25" customHeight="1">
      <c r="D72" s="32"/>
      <c r="E72" s="138" t="s">
        <v>61</v>
      </c>
      <c r="F72" s="131" t="s">
        <v>215</v>
      </c>
      <c r="G72" s="132">
        <f>SUM(H72:K72)</f>
        <v>17.688290000000002</v>
      </c>
      <c r="H72" s="132">
        <f>H74+H79</f>
        <v>0</v>
      </c>
      <c r="I72" s="132">
        <f>I74+I79</f>
        <v>0</v>
      </c>
      <c r="J72" s="132">
        <f>J74+J79</f>
        <v>13.1548</v>
      </c>
      <c r="K72" s="133">
        <f>K74+K79</f>
        <v>4.5334900000000005</v>
      </c>
      <c r="L72" s="38"/>
      <c r="M72" s="57"/>
      <c r="R72" s="201" t="s">
        <v>172</v>
      </c>
    </row>
    <row r="73" spans="4:19" ht="11.25">
      <c r="D73" s="32"/>
      <c r="E73" s="138"/>
      <c r="F73" s="179" t="s">
        <v>145</v>
      </c>
      <c r="G73" s="175">
        <f>IF(G72=0,0,'Баланс ЭЭ'!G51/G72)</f>
        <v>2963.3410568578006</v>
      </c>
      <c r="H73" s="175">
        <f>IF(H72=0,0,'Баланс ЭЭ'!H51/H72)</f>
        <v>0</v>
      </c>
      <c r="I73" s="175">
        <f>IF(I72=0,0,'Баланс ЭЭ'!I51/I72)</f>
        <v>0</v>
      </c>
      <c r="J73" s="175">
        <f>IF(J72=0,0,'Баланс ЭЭ'!J51/J72)</f>
        <v>3399.17061509552</v>
      </c>
      <c r="K73" s="176">
        <f>IF(K72=0,0,'Баланс ЭЭ'!K51/K72)</f>
        <v>1698.6971130737513</v>
      </c>
      <c r="L73" s="38"/>
      <c r="M73" s="57"/>
      <c r="R73" s="201" t="s">
        <v>172</v>
      </c>
      <c r="S73" s="201" t="s">
        <v>145</v>
      </c>
    </row>
    <row r="74" spans="3:18" ht="33.75" customHeight="1">
      <c r="C74" s="188" t="s">
        <v>143</v>
      </c>
      <c r="D74" s="32"/>
      <c r="E74" s="124" t="s">
        <v>64</v>
      </c>
      <c r="F74" s="166" t="s">
        <v>214</v>
      </c>
      <c r="G74" s="116">
        <f>SUM(H74:K74)</f>
        <v>16.39829</v>
      </c>
      <c r="H74" s="116">
        <f>SUMIF($Q76:$Q78,"="&amp;$Q74,H76:H78)</f>
        <v>0</v>
      </c>
      <c r="I74" s="116">
        <f>SUMIF($Q76:$Q78,"="&amp;$Q74,I76:I78)</f>
        <v>0</v>
      </c>
      <c r="J74" s="116">
        <f>SUMIF($Q76:$Q78,"="&amp;$Q74,J76:J78)</f>
        <v>12.2648</v>
      </c>
      <c r="K74" s="117">
        <f>SUMIF($Q76:$Q78,"="&amp;$Q74,K76:K78)</f>
        <v>4.13349</v>
      </c>
      <c r="L74" s="38"/>
      <c r="M74" s="57"/>
      <c r="Q74" s="201">
        <v>5</v>
      </c>
      <c r="R74" s="201" t="s">
        <v>173</v>
      </c>
    </row>
    <row r="75" spans="4:19" ht="11.25">
      <c r="D75" s="32"/>
      <c r="E75" s="124"/>
      <c r="F75" s="180" t="s">
        <v>145</v>
      </c>
      <c r="G75" s="177">
        <f>IF(G74=0,0,'Баланс ЭЭ'!G52/G74)</f>
        <v>2931.602769716066</v>
      </c>
      <c r="H75" s="177">
        <f>IF(H74=0,0,'Баланс ЭЭ'!H52/H74)</f>
        <v>0</v>
      </c>
      <c r="I75" s="177">
        <f>IF(I74=0,0,'Баланс ЭЭ'!I52/I74)</f>
        <v>0</v>
      </c>
      <c r="J75" s="177">
        <f>IF(J74=0,0,'Баланс ЭЭ'!J52/J74)</f>
        <v>3443.35615806687</v>
      </c>
      <c r="K75" s="178">
        <f>IF(K74=0,0,'Баланс ЭЭ'!K52/K74)</f>
        <v>1413.139447573049</v>
      </c>
      <c r="L75" s="38"/>
      <c r="M75" s="57"/>
      <c r="R75" s="201" t="s">
        <v>173</v>
      </c>
      <c r="S75" s="201" t="s">
        <v>145</v>
      </c>
    </row>
    <row r="76" spans="1:20" ht="11.25">
      <c r="A76" s="201">
        <f>NOT($O$78)*1</f>
        <v>0</v>
      </c>
      <c r="B76" s="201">
        <v>2</v>
      </c>
      <c r="D76" s="32"/>
      <c r="E76" s="128" t="str">
        <f>"3.1."&amp;(ROW()-ROW($E$76))/2+1&amp;"."</f>
        <v>3.1.1.</v>
      </c>
      <c r="F76" s="148" t="str">
        <f>'Баланс ЭЭ'!F53</f>
        <v>ООО "Воздушные ворота северной столицы"</v>
      </c>
      <c r="G76" s="116">
        <f>SUM(H76:K76)</f>
        <v>16.39829</v>
      </c>
      <c r="H76" s="120"/>
      <c r="I76" s="120"/>
      <c r="J76" s="120">
        <v>12.2648</v>
      </c>
      <c r="K76" s="121">
        <v>4.13349</v>
      </c>
      <c r="L76" s="38"/>
      <c r="M76" s="57"/>
      <c r="P76" s="201">
        <f>IF(ISERROR(INDEX(NET_ID,MATCH(F76,NET_GROUP,0))),0,INDEX(NET_ID,MATCH(F76,NET_GROUP,0)))</f>
        <v>26555079</v>
      </c>
      <c r="Q76" s="201">
        <v>5</v>
      </c>
      <c r="R76" s="201" t="s">
        <v>173</v>
      </c>
      <c r="T76" s="201" t="str">
        <f>F76</f>
        <v>ООО "Воздушные ворота северной столицы"</v>
      </c>
    </row>
    <row r="77" spans="1:20" ht="11.25">
      <c r="A77" s="201">
        <f>NOT($O$78)*1</f>
        <v>0</v>
      </c>
      <c r="D77" s="32"/>
      <c r="E77" s="124"/>
      <c r="F77" s="180" t="s">
        <v>145</v>
      </c>
      <c r="G77" s="177">
        <f>IF(G76=0,0,'Баланс ЭЭ'!G53/G76)</f>
        <v>2931.602769716066</v>
      </c>
      <c r="H77" s="177">
        <f>IF(H76=0,0,'Баланс ЭЭ'!H53/H76)</f>
        <v>0</v>
      </c>
      <c r="I77" s="177">
        <f>IF(I76=0,0,'Баланс ЭЭ'!I53/I76)</f>
        <v>0</v>
      </c>
      <c r="J77" s="177">
        <f>IF(J76=0,0,'Баланс ЭЭ'!J53/J76)</f>
        <v>3443.35615806687</v>
      </c>
      <c r="K77" s="178">
        <f>IF(K76=0,0,'Баланс ЭЭ'!K53/K76)</f>
        <v>1413.139447573049</v>
      </c>
      <c r="L77" s="38"/>
      <c r="M77" s="57"/>
      <c r="P77" s="201">
        <f>IF(ISERROR(INDEX(NET_ID,MATCH(F76,NET_GROUP,0))),0,INDEX(NET_ID,MATCH(F76,NET_GROUP,0)))</f>
        <v>26555079</v>
      </c>
      <c r="R77" s="201" t="s">
        <v>173</v>
      </c>
      <c r="S77" s="201" t="s">
        <v>145</v>
      </c>
      <c r="T77" s="201" t="str">
        <f>F76</f>
        <v>ООО "Воздушные ворота северной столицы"</v>
      </c>
    </row>
    <row r="78" spans="2:15" ht="11.25">
      <c r="B78" s="201">
        <v>2</v>
      </c>
      <c r="D78" s="32"/>
      <c r="E78" s="93"/>
      <c r="F78" s="134"/>
      <c r="G78" s="129"/>
      <c r="H78" s="129"/>
      <c r="I78" s="129"/>
      <c r="J78" s="129"/>
      <c r="K78" s="130"/>
      <c r="L78" s="38"/>
      <c r="M78" s="57"/>
      <c r="O78" s="201">
        <v>1</v>
      </c>
    </row>
    <row r="79" spans="4:18" ht="33.75" customHeight="1">
      <c r="D79" s="32"/>
      <c r="E79" s="124" t="s">
        <v>65</v>
      </c>
      <c r="F79" s="125" t="str">
        <f>'Баланс ЭЭ'!F55</f>
        <v>Полезный отпуск электрической энергии потребителям, всего</v>
      </c>
      <c r="G79" s="116">
        <f>G81+G93</f>
        <v>1.29</v>
      </c>
      <c r="H79" s="116">
        <f>H81+H93</f>
        <v>0</v>
      </c>
      <c r="I79" s="116">
        <f>I81+I93</f>
        <v>0</v>
      </c>
      <c r="J79" s="116">
        <f>J81+J93</f>
        <v>0.89</v>
      </c>
      <c r="K79" s="117">
        <f>K81+K93</f>
        <v>0.4</v>
      </c>
      <c r="L79" s="38"/>
      <c r="M79" s="57"/>
      <c r="O79" s="201">
        <v>1</v>
      </c>
      <c r="R79" s="201" t="s">
        <v>174</v>
      </c>
    </row>
    <row r="80" spans="4:19" ht="11.25">
      <c r="D80" s="32"/>
      <c r="E80" s="124"/>
      <c r="F80" s="180" t="s">
        <v>145</v>
      </c>
      <c r="G80" s="177">
        <f>IF($G$81=0,0,'Баланс ЭЭ'!$G$55/$G$81*1000)</f>
        <v>3366793.4883720926</v>
      </c>
      <c r="H80" s="177">
        <f>IF($H$81=0,0,'Баланс ЭЭ'!$H$55/$H$81*1000)</f>
        <v>0</v>
      </c>
      <c r="I80" s="177">
        <f>IF($I$81=0,0,'Баланс ЭЭ'!$I$55/$I$81*1000)</f>
        <v>0</v>
      </c>
      <c r="J80" s="177">
        <f>IF($J$81=0,0,'Баланс ЭЭ'!$J$55/$J$81*1000)</f>
        <v>2790264.04494382</v>
      </c>
      <c r="K80" s="178">
        <f>IF($K$81=0,0,'Баланс ЭЭ'!$K$55/$K$81*1000)</f>
        <v>4649571.5</v>
      </c>
      <c r="L80" s="38"/>
      <c r="M80" s="57"/>
      <c r="R80" s="201" t="s">
        <v>174</v>
      </c>
      <c r="S80" s="201" t="s">
        <v>145</v>
      </c>
    </row>
    <row r="81" spans="3:18" ht="26.25" customHeight="1">
      <c r="C81" s="140" t="s">
        <v>143</v>
      </c>
      <c r="D81" s="32"/>
      <c r="E81" s="124" t="s">
        <v>175</v>
      </c>
      <c r="F81" s="186" t="s">
        <v>176</v>
      </c>
      <c r="G81" s="116">
        <f>SUM(H81:K81)</f>
        <v>1.29</v>
      </c>
      <c r="H81" s="116">
        <f>SUMIF($Q83:$Q92,"="&amp;$Q81,H83:H92)</f>
        <v>0</v>
      </c>
      <c r="I81" s="116">
        <f>SUMIF($Q83:$Q92,"="&amp;$Q81,I83:I92)</f>
        <v>0</v>
      </c>
      <c r="J81" s="116">
        <f>SUMIF($Q83:$Q92,"="&amp;$Q81,J83:J92)</f>
        <v>0.89</v>
      </c>
      <c r="K81" s="117">
        <f>SUMIF($Q83:$Q92,"="&amp;$Q81,K83:K92)</f>
        <v>0.4</v>
      </c>
      <c r="L81" s="38"/>
      <c r="M81" s="57"/>
      <c r="Q81" s="201">
        <v>5</v>
      </c>
      <c r="R81" s="201" t="s">
        <v>203</v>
      </c>
    </row>
    <row r="82" spans="3:19" ht="11.25">
      <c r="C82" s="140"/>
      <c r="D82" s="32"/>
      <c r="E82" s="124"/>
      <c r="F82" s="180" t="s">
        <v>145</v>
      </c>
      <c r="G82" s="177">
        <f>IF(G81=0,0,'Баланс ЭЭ'!G56/G81)</f>
        <v>3366.7934883720927</v>
      </c>
      <c r="H82" s="177">
        <f>IF(H81=0,0,'Баланс ЭЭ'!H56/H81)</f>
        <v>0</v>
      </c>
      <c r="I82" s="177">
        <f>IF(I81=0,0,'Баланс ЭЭ'!I56/I81)</f>
        <v>0</v>
      </c>
      <c r="J82" s="177">
        <f>IF(J81=0,0,'Баланс ЭЭ'!J56/J81)</f>
        <v>2790.2640449438204</v>
      </c>
      <c r="K82" s="178">
        <f>IF(K81=0,0,'Баланс ЭЭ'!K56/K81)</f>
        <v>4649.5715</v>
      </c>
      <c r="L82" s="38"/>
      <c r="M82" s="57"/>
      <c r="R82" s="201" t="s">
        <v>203</v>
      </c>
      <c r="S82" s="201" t="s">
        <v>145</v>
      </c>
    </row>
    <row r="83" spans="1:20" ht="22.5">
      <c r="A83" s="201">
        <f aca="true" t="shared" si="2" ref="A83:A91">NOT($O$92)*1</f>
        <v>0</v>
      </c>
      <c r="B83" s="201">
        <v>3</v>
      </c>
      <c r="D83" s="32"/>
      <c r="E83" s="128" t="str">
        <f>"3.2.1."&amp;(ROW()-ROW($E$83))/3+1&amp;"."</f>
        <v>3.2.1.1.</v>
      </c>
      <c r="F83" s="148" t="str">
        <f>'Баланс ЭЭ'!F57</f>
        <v>ОАО "Аэропорт "Пулково"</v>
      </c>
      <c r="G83" s="116">
        <f>SUM(H83:K83)</f>
        <v>0</v>
      </c>
      <c r="H83" s="120"/>
      <c r="I83" s="120"/>
      <c r="J83" s="120">
        <v>0</v>
      </c>
      <c r="K83" s="121">
        <v>0</v>
      </c>
      <c r="L83" s="38"/>
      <c r="M83" s="57"/>
      <c r="P83" s="201">
        <f>IF(ISERROR(INDEX(NET_ID,MATCH(F83,NET_GROUP,0))),0,INDEX(NET_ID,MATCH(F83,NET_GROUP,0)))</f>
        <v>26420583</v>
      </c>
      <c r="Q83" s="201">
        <v>5</v>
      </c>
      <c r="R83" s="201" t="s">
        <v>203</v>
      </c>
      <c r="T83" s="201" t="str">
        <f>F83</f>
        <v>ОАО "Аэропорт "Пулково"</v>
      </c>
    </row>
    <row r="84" spans="1:20" ht="11.25">
      <c r="A84" s="201">
        <f t="shared" si="2"/>
        <v>0</v>
      </c>
      <c r="D84" s="32"/>
      <c r="E84" s="124"/>
      <c r="F84" s="180" t="s">
        <v>145</v>
      </c>
      <c r="G84" s="177">
        <f>IF(G83=0,0,'Баланс ЭЭ'!G57/G83)</f>
        <v>0</v>
      </c>
      <c r="H84" s="177">
        <f>IF(H83=0,0,'Баланс ЭЭ'!H57/H83)</f>
        <v>0</v>
      </c>
      <c r="I84" s="177">
        <f>IF(I83=0,0,'Баланс ЭЭ'!I57/I83)</f>
        <v>0</v>
      </c>
      <c r="J84" s="177">
        <f>IF(J83=0,0,'Баланс ЭЭ'!J57/J83)</f>
        <v>0</v>
      </c>
      <c r="K84" s="178">
        <f>IF(K83=0,0,'Баланс ЭЭ'!K57/K83)</f>
        <v>0</v>
      </c>
      <c r="L84" s="38"/>
      <c r="M84" s="57"/>
      <c r="P84" s="201">
        <f>IF(ISERROR(INDEX(NET_ID,MATCH(F83,NET_GROUP,0))),0,INDEX(NET_ID,MATCH(F83,NET_GROUP,0)))</f>
        <v>26420583</v>
      </c>
      <c r="R84" s="201" t="s">
        <v>203</v>
      </c>
      <c r="S84" s="201" t="s">
        <v>145</v>
      </c>
      <c r="T84" s="201" t="str">
        <f>F83</f>
        <v>ОАО "Аэропорт "Пулково"</v>
      </c>
    </row>
    <row r="85" spans="1:20" ht="11.25">
      <c r="A85" s="201">
        <f t="shared" si="2"/>
        <v>0</v>
      </c>
      <c r="D85" s="32"/>
      <c r="E85" s="187"/>
      <c r="F85" s="165" t="s">
        <v>162</v>
      </c>
      <c r="G85" s="116">
        <f>SUM(H85:K85)</f>
        <v>0</v>
      </c>
      <c r="H85" s="120"/>
      <c r="I85" s="120"/>
      <c r="J85" s="120"/>
      <c r="K85" s="121"/>
      <c r="L85" s="38"/>
      <c r="M85" s="57"/>
      <c r="R85" s="201" t="s">
        <v>204</v>
      </c>
      <c r="T85" s="201" t="str">
        <f>F83</f>
        <v>ОАО "Аэропорт "Пулково"</v>
      </c>
    </row>
    <row r="86" spans="1:20" ht="22.5">
      <c r="A86" s="201">
        <f t="shared" si="2"/>
        <v>0</v>
      </c>
      <c r="B86" s="201">
        <v>3</v>
      </c>
      <c r="D86" s="32"/>
      <c r="E86" s="128" t="str">
        <f>"3.2.1."&amp;(ROW()-ROW($E$83))/3+1&amp;"."</f>
        <v>3.2.1.2.</v>
      </c>
      <c r="F86" s="148" t="str">
        <f>'Баланс ЭЭ'!F59</f>
        <v>ОАО "Петербургская сбытовая компания"</v>
      </c>
      <c r="G86" s="116">
        <f>SUM(H86:K86)</f>
        <v>1.29</v>
      </c>
      <c r="H86" s="120"/>
      <c r="I86" s="120"/>
      <c r="J86" s="120">
        <v>0.89</v>
      </c>
      <c r="K86" s="121">
        <v>0.4</v>
      </c>
      <c r="L86" s="38"/>
      <c r="M86" s="57"/>
      <c r="P86" s="201">
        <f>IF(ISERROR(INDEX(NET_ID,MATCH(F86,NET_GROUP,0))),0,INDEX(NET_ID,MATCH(F86,NET_GROUP,0)))</f>
        <v>26424359</v>
      </c>
      <c r="Q86" s="201">
        <v>5</v>
      </c>
      <c r="R86" s="201" t="s">
        <v>203</v>
      </c>
      <c r="T86" s="201" t="str">
        <f>F86</f>
        <v>ОАО "Петербургская сбытовая компания"</v>
      </c>
    </row>
    <row r="87" spans="1:20" ht="11.25">
      <c r="A87" s="201">
        <f t="shared" si="2"/>
        <v>0</v>
      </c>
      <c r="D87" s="32"/>
      <c r="E87" s="124"/>
      <c r="F87" s="180" t="s">
        <v>145</v>
      </c>
      <c r="G87" s="177">
        <f>IF($G$85=0,0,'Баланс ЭЭ'!$G$59/$G$85*1000)</f>
        <v>0</v>
      </c>
      <c r="H87" s="177">
        <f>IF($H$85=0,0,'Баланс ЭЭ'!$H$59/$H$85*1000)</f>
        <v>0</v>
      </c>
      <c r="I87" s="177">
        <f>IF($I$85=0,0,'Баланс ЭЭ'!$I$59/$I$85*1000)</f>
        <v>0</v>
      </c>
      <c r="J87" s="177">
        <f>IF($J$85=0,0,'Баланс ЭЭ'!$J$59/$J$85*1000)</f>
        <v>0</v>
      </c>
      <c r="K87" s="178">
        <f>IF($K$85=0,0,'Баланс ЭЭ'!$K$59/$K$85*1000)</f>
        <v>0</v>
      </c>
      <c r="L87" s="38"/>
      <c r="M87" s="57"/>
      <c r="P87" s="201">
        <f>IF(ISERROR(INDEX(NET_ID,MATCH(F86,NET_GROUP,0))),0,INDEX(NET_ID,MATCH(F86,NET_GROUP,0)))</f>
        <v>26424359</v>
      </c>
      <c r="R87" s="201" t="s">
        <v>203</v>
      </c>
      <c r="S87" s="201" t="s">
        <v>145</v>
      </c>
      <c r="T87" s="201" t="str">
        <f>F86</f>
        <v>ОАО "Петербургская сбытовая компания"</v>
      </c>
    </row>
    <row r="88" spans="1:20" ht="11.25">
      <c r="A88" s="201">
        <f t="shared" si="2"/>
        <v>0</v>
      </c>
      <c r="D88" s="32"/>
      <c r="E88" s="187"/>
      <c r="F88" s="165" t="s">
        <v>162</v>
      </c>
      <c r="G88" s="116">
        <f>SUM(H88:K88)</f>
        <v>0</v>
      </c>
      <c r="H88" s="120"/>
      <c r="I88" s="120"/>
      <c r="J88" s="120"/>
      <c r="K88" s="121"/>
      <c r="L88" s="38"/>
      <c r="M88" s="57"/>
      <c r="R88" s="201" t="s">
        <v>204</v>
      </c>
      <c r="T88" s="201" t="str">
        <f>F86</f>
        <v>ОАО "Петербургская сбытовая компания"</v>
      </c>
    </row>
    <row r="89" spans="1:20" ht="22.5">
      <c r="A89" s="201">
        <f t="shared" si="2"/>
        <v>0</v>
      </c>
      <c r="B89" s="201">
        <v>3</v>
      </c>
      <c r="D89" s="32"/>
      <c r="E89" s="128" t="str">
        <f>"3.2.1."&amp;(ROW()-ROW($E$83))/3+1&amp;"."</f>
        <v>3.2.1.3.</v>
      </c>
      <c r="F89" s="148" t="str">
        <f>'Баланс ЭЭ'!F61</f>
        <v>Прочие поставщики</v>
      </c>
      <c r="G89" s="116">
        <f>SUM(H89:K89)</f>
        <v>0</v>
      </c>
      <c r="H89" s="120"/>
      <c r="I89" s="120"/>
      <c r="J89" s="120">
        <v>0</v>
      </c>
      <c r="K89" s="121">
        <v>0</v>
      </c>
      <c r="L89" s="38"/>
      <c r="M89" s="57"/>
      <c r="P89" s="201">
        <f>IF(ISERROR(INDEX(NET_ID,MATCH(F89,NET_GROUP,0))),0,INDEX(NET_ID,MATCH(F89,NET_GROUP,0)))</f>
        <v>0</v>
      </c>
      <c r="Q89" s="201">
        <v>5</v>
      </c>
      <c r="R89" s="201" t="s">
        <v>203</v>
      </c>
      <c r="T89" s="201" t="str">
        <f>F89</f>
        <v>Прочие поставщики</v>
      </c>
    </row>
    <row r="90" spans="1:20" ht="11.25">
      <c r="A90" s="201">
        <f t="shared" si="2"/>
        <v>0</v>
      </c>
      <c r="D90" s="32"/>
      <c r="E90" s="124"/>
      <c r="F90" s="180" t="s">
        <v>145</v>
      </c>
      <c r="G90" s="177">
        <f>IF($G$88=0,0,'Баланс ЭЭ'!$G$61/$G$88*1000)</f>
        <v>0</v>
      </c>
      <c r="H90" s="177">
        <f>IF($H$88=0,0,'Баланс ЭЭ'!$H$61/$H$88*1000)</f>
        <v>0</v>
      </c>
      <c r="I90" s="177">
        <f>IF($I$88=0,0,'Баланс ЭЭ'!$I$61/$I$88*1000)</f>
        <v>0</v>
      </c>
      <c r="J90" s="177">
        <f>IF($J$88=0,0,'Баланс ЭЭ'!$J$61/$J$88*1000)</f>
        <v>0</v>
      </c>
      <c r="K90" s="178">
        <f>IF($K$88=0,0,'Баланс ЭЭ'!$K$61/$K$88*1000)</f>
        <v>0</v>
      </c>
      <c r="L90" s="38"/>
      <c r="M90" s="57"/>
      <c r="P90" s="201">
        <f>IF(ISERROR(INDEX(NET_ID,MATCH(F89,NET_GROUP,0))),0,INDEX(NET_ID,MATCH(F89,NET_GROUP,0)))</f>
        <v>0</v>
      </c>
      <c r="R90" s="201" t="s">
        <v>203</v>
      </c>
      <c r="S90" s="201" t="s">
        <v>145</v>
      </c>
      <c r="T90" s="201" t="str">
        <f>F89</f>
        <v>Прочие поставщики</v>
      </c>
    </row>
    <row r="91" spans="1:20" ht="11.25">
      <c r="A91" s="201">
        <f t="shared" si="2"/>
        <v>0</v>
      </c>
      <c r="D91" s="32"/>
      <c r="E91" s="187"/>
      <c r="F91" s="165" t="s">
        <v>162</v>
      </c>
      <c r="G91" s="116">
        <f>SUM(H91:K91)</f>
        <v>0</v>
      </c>
      <c r="H91" s="120"/>
      <c r="I91" s="120"/>
      <c r="J91" s="120"/>
      <c r="K91" s="121"/>
      <c r="L91" s="38"/>
      <c r="M91" s="57"/>
      <c r="R91" s="201" t="s">
        <v>204</v>
      </c>
      <c r="T91" s="201" t="str">
        <f>F89</f>
        <v>Прочие поставщики</v>
      </c>
    </row>
    <row r="92" spans="2:15" ht="11.25">
      <c r="B92" s="201">
        <v>3</v>
      </c>
      <c r="D92" s="32"/>
      <c r="E92" s="93"/>
      <c r="F92" s="134"/>
      <c r="G92" s="129"/>
      <c r="H92" s="129"/>
      <c r="I92" s="129"/>
      <c r="J92" s="129"/>
      <c r="K92" s="130"/>
      <c r="L92" s="38"/>
      <c r="M92" s="57"/>
      <c r="O92" s="201">
        <v>1</v>
      </c>
    </row>
    <row r="93" spans="3:18" ht="26.25" customHeight="1">
      <c r="C93" s="188" t="s">
        <v>143</v>
      </c>
      <c r="D93" s="32"/>
      <c r="E93" s="124" t="s">
        <v>226</v>
      </c>
      <c r="F93" s="166" t="s">
        <v>165</v>
      </c>
      <c r="G93" s="116">
        <f>SUM(H93:K93)</f>
        <v>0</v>
      </c>
      <c r="H93" s="116">
        <f>SUMIF($Q95:$Q97,"="&amp;$Q93,H95:H97)</f>
        <v>0</v>
      </c>
      <c r="I93" s="116">
        <f>SUMIF($Q95:$Q97,"="&amp;$Q93,I95:I97)</f>
        <v>0</v>
      </c>
      <c r="J93" s="116">
        <f>SUMIF($Q95:$Q97,"="&amp;$Q93,J95:J97)</f>
        <v>0</v>
      </c>
      <c r="K93" s="117">
        <f>SUMIF($Q95:$Q97,"="&amp;$Q93,K95:K97)</f>
        <v>0</v>
      </c>
      <c r="L93" s="38"/>
      <c r="M93" s="57"/>
      <c r="Q93" s="201">
        <v>5</v>
      </c>
      <c r="R93" s="201" t="s">
        <v>205</v>
      </c>
    </row>
    <row r="94" spans="4:19" ht="11.25" hidden="1">
      <c r="D94" s="32"/>
      <c r="E94" s="124"/>
      <c r="F94" s="180" t="s">
        <v>145</v>
      </c>
      <c r="G94" s="177">
        <f>IF(G93=0,0,'Баланс ЭЭ'!G64/G93)</f>
        <v>0</v>
      </c>
      <c r="H94" s="177">
        <f>IF(H93=0,0,'Баланс ЭЭ'!H64/H93)</f>
        <v>0</v>
      </c>
      <c r="I94" s="177">
        <f>IF(I93=0,0,'Баланс ЭЭ'!I64/I93)</f>
        <v>0</v>
      </c>
      <c r="J94" s="177">
        <f>IF(J93=0,0,'Баланс ЭЭ'!J64/J93)</f>
        <v>0</v>
      </c>
      <c r="K94" s="178">
        <f>IF(K93=0,0,'Баланс ЭЭ'!K64/K93)</f>
        <v>0</v>
      </c>
      <c r="L94" s="38"/>
      <c r="M94" s="57"/>
      <c r="R94" s="201" t="s">
        <v>205</v>
      </c>
      <c r="S94" s="201" t="s">
        <v>145</v>
      </c>
    </row>
    <row r="95" spans="1:20" ht="22.5" hidden="1">
      <c r="A95" s="201">
        <f>NOT($O$97)*1</f>
        <v>1</v>
      </c>
      <c r="B95" s="201">
        <v>2</v>
      </c>
      <c r="D95" s="32"/>
      <c r="E95" s="128" t="str">
        <f>"3.2.2."&amp;(ROW()-ROW($E$95))/2+1&amp;"."</f>
        <v>3.2.2.1.</v>
      </c>
      <c r="F95" s="148">
        <f>'Баланс ЭЭ'!F65</f>
        <v>0</v>
      </c>
      <c r="G95" s="116">
        <f>SUM(H95:K95)</f>
        <v>0</v>
      </c>
      <c r="H95" s="120"/>
      <c r="I95" s="120"/>
      <c r="J95" s="120"/>
      <c r="K95" s="121"/>
      <c r="L95" s="38"/>
      <c r="M95" s="57"/>
      <c r="P95" s="201">
        <f>IF(ISERROR(INDEX(NET_ID,MATCH(F95,NET_GROUP,0))),0,INDEX(NET_ID,MATCH(F95,NET_GROUP,0)))</f>
        <v>0</v>
      </c>
      <c r="Q95" s="201">
        <v>5</v>
      </c>
      <c r="R95" s="201" t="s">
        <v>205</v>
      </c>
      <c r="T95" s="201">
        <f>F95</f>
        <v>0</v>
      </c>
    </row>
    <row r="96" spans="1:20" ht="11.25" hidden="1">
      <c r="A96" s="201">
        <f>NOT($O$97)*1</f>
        <v>1</v>
      </c>
      <c r="D96" s="32"/>
      <c r="E96" s="124"/>
      <c r="F96" s="180" t="s">
        <v>145</v>
      </c>
      <c r="G96" s="177">
        <f>IF(G95=0,0,'Баланс ЭЭ'!G65/G95)</f>
        <v>0</v>
      </c>
      <c r="H96" s="177">
        <f>IF(H95=0,0,'Баланс ЭЭ'!H65/H95)</f>
        <v>0</v>
      </c>
      <c r="I96" s="177">
        <f>IF(I95=0,0,'Баланс ЭЭ'!I65/I95)</f>
        <v>0</v>
      </c>
      <c r="J96" s="177">
        <f>IF(J95=0,0,'Баланс ЭЭ'!J65/J95)</f>
        <v>0</v>
      </c>
      <c r="K96" s="178">
        <f>IF(K95=0,0,'Баланс ЭЭ'!K65/K95)</f>
        <v>0</v>
      </c>
      <c r="L96" s="38"/>
      <c r="M96" s="57"/>
      <c r="P96" s="201">
        <f>IF(ISERROR(INDEX(NET_ID,MATCH(F95,NET_GROUP,0))),0,INDEX(NET_ID,MATCH(F95,NET_GROUP,0)))</f>
        <v>0</v>
      </c>
      <c r="R96" s="201" t="s">
        <v>205</v>
      </c>
      <c r="S96" s="201" t="s">
        <v>145</v>
      </c>
      <c r="T96" s="201">
        <f>F95</f>
        <v>0</v>
      </c>
    </row>
    <row r="97" spans="2:15" ht="11.25">
      <c r="B97" s="201">
        <v>2</v>
      </c>
      <c r="D97" s="32"/>
      <c r="E97" s="93"/>
      <c r="F97" s="134"/>
      <c r="G97" s="129"/>
      <c r="H97" s="129"/>
      <c r="I97" s="129"/>
      <c r="J97" s="129"/>
      <c r="K97" s="130"/>
      <c r="L97" s="38"/>
      <c r="M97" s="57"/>
      <c r="O97" s="201">
        <v>0</v>
      </c>
    </row>
    <row r="98" spans="4:18" ht="41.25" customHeight="1">
      <c r="D98" s="32"/>
      <c r="E98" s="138" t="s">
        <v>177</v>
      </c>
      <c r="F98" s="192" t="s">
        <v>178</v>
      </c>
      <c r="G98" s="132">
        <f>SUM(H98:K98)</f>
        <v>1.29</v>
      </c>
      <c r="H98" s="120"/>
      <c r="I98" s="120"/>
      <c r="J98" s="168">
        <v>0.89</v>
      </c>
      <c r="K98" s="169">
        <v>0.4</v>
      </c>
      <c r="L98" s="38"/>
      <c r="M98" s="57"/>
      <c r="R98" s="201" t="s">
        <v>178</v>
      </c>
    </row>
    <row r="99" spans="4:18" ht="15" customHeight="1">
      <c r="D99" s="32"/>
      <c r="E99" s="138"/>
      <c r="F99" s="193" t="s">
        <v>162</v>
      </c>
      <c r="G99" s="116">
        <f>SUM(H99:K99)</f>
        <v>0</v>
      </c>
      <c r="H99" s="120"/>
      <c r="I99" s="120"/>
      <c r="J99" s="120"/>
      <c r="K99" s="121"/>
      <c r="L99" s="38"/>
      <c r="M99" s="57"/>
      <c r="R99" s="201" t="s">
        <v>206</v>
      </c>
    </row>
    <row r="100" spans="4:13" ht="11.25">
      <c r="D100" s="32"/>
      <c r="E100" s="135"/>
      <c r="F100" s="143"/>
      <c r="G100" s="136"/>
      <c r="H100" s="136"/>
      <c r="I100" s="136"/>
      <c r="J100" s="136"/>
      <c r="K100" s="137"/>
      <c r="L100" s="38"/>
      <c r="M100" s="57"/>
    </row>
    <row r="101" spans="4:13" ht="15" customHeight="1" thickBot="1">
      <c r="D101" s="32"/>
      <c r="E101" s="139"/>
      <c r="F101" s="144" t="s">
        <v>24</v>
      </c>
      <c r="G101" s="141">
        <f>G15-G38</f>
        <v>0.0002900000000032321</v>
      </c>
      <c r="H101" s="141">
        <f>H15-H47-H72-I35-J35</f>
        <v>0</v>
      </c>
      <c r="I101" s="141">
        <f>I15-I47-I72-J36</f>
        <v>0</v>
      </c>
      <c r="J101" s="141">
        <f>J15-J47-J72-K37</f>
        <v>0.00019999999999953388</v>
      </c>
      <c r="K101" s="142">
        <f>K15-K47-K72</f>
        <v>-0.0004900000000001015</v>
      </c>
      <c r="L101" s="38"/>
      <c r="M101" s="57"/>
    </row>
    <row r="102" spans="4:13" ht="15" customHeight="1">
      <c r="D102" s="35"/>
      <c r="E102" s="97"/>
      <c r="F102" s="36"/>
      <c r="G102" s="97"/>
      <c r="H102" s="97"/>
      <c r="I102" s="97"/>
      <c r="J102" s="97"/>
      <c r="K102" s="36"/>
      <c r="L102" s="39"/>
      <c r="M102" s="57"/>
    </row>
    <row r="105" ht="11.25">
      <c r="D105" t="s">
        <v>57</v>
      </c>
    </row>
  </sheetData>
  <sheetProtection password="E4D4" sheet="1" scenarios="1" formatColumns="0" formatRows="0"/>
  <mergeCells count="10">
    <mergeCell ref="E56:E58"/>
    <mergeCell ref="E68:E70"/>
    <mergeCell ref="K4:L4"/>
    <mergeCell ref="K5:L5"/>
    <mergeCell ref="D8:L8"/>
    <mergeCell ref="D9:L9"/>
    <mergeCell ref="D10:L10"/>
    <mergeCell ref="D11:L11"/>
    <mergeCell ref="E59:E61"/>
    <mergeCell ref="E62:E64"/>
  </mergeCells>
  <dataValidations count="4">
    <dataValidation type="decimal" allowBlank="1" showInputMessage="1" showErrorMessage="1" error="Допускается ввод только положительных действительных чисел!" sqref="H98:K99 H95:K95 H68:K68 H59:K59 H76:K76 H83:K83 K37 I35:J35 J36 H40:K40 H56:K56 H50:K50 H47:K47 H30:K30 H21:K21 H42:K42 H23:K23 H85:K86 H62:K62 H25:K25 H88:K89 H91:K91 H44:K44">
      <formula1>0</formula1>
      <formula2>9.99999999999999E+37</formula2>
    </dataValidation>
    <dataValidation type="decimal" allowBlank="1" showInputMessage="1" showErrorMessage="1" errorTitle="Внимание" error="Допускается ввод только действительных значений" sqref="K96 K69 K57 K84 K77 K60 K87 K63 K90">
      <formula1>-999999999999999000000000</formula1>
      <formula2>9.99999999999999E+23</formula2>
    </dataValidation>
    <dataValidation type="decimal" allowBlank="1" showInputMessage="1" showErrorMessage="1" errorTitle="Внимание" error="Допускается ввод только действительных чисел!" sqref="H94:K94 H75:K75 H82:K82 H80:K80 I36:I37 H33:H37 K35:K36 G34 J37">
      <formula1>-999999999999999000000000</formula1>
      <formula2>9.99999999999999E+23</formula2>
    </dataValidation>
    <dataValidation allowBlank="1" showInputMessage="1" showErrorMessage="1" errorTitle="Внимание" error="Допускается ввод только действительных чисел!" sqref="H93:K93 H74:K74 H79:K79 H81 H38:K38 H48:K48 H52:K52 G28:K29 H16:K20 G17:G20"/>
  </dataValidations>
  <hyperlinks>
    <hyperlink ref="C81" location="Титульный!C1" display="+"/>
    <hyperlink ref="C17" location="Титульный!C1" display="+"/>
    <hyperlink ref="C38" location="Титульный!C1" display="+"/>
    <hyperlink ref="C74" location="Титульный!C1" display="+"/>
    <hyperlink ref="C52" location="Титульный!C1" display="+"/>
    <hyperlink ref="C93" location="Титульный!C1" display="+"/>
    <hyperlink ref="C19" location="Титульный!C1" display="+"/>
    <hyperlink ref="C28" location="Титульный!C1" display="+"/>
  </hyperlinks>
  <printOptions horizontalCentered="1"/>
  <pageMargins left="0.5118110236220472" right="0.5118110236220472" top="0.35433070866141736" bottom="0.35433070866141736" header="0.31496062992125984" footer="0.31496062992125984"/>
  <pageSetup fitToHeight="100" fitToWidth="1" horizontalDpi="600" verticalDpi="600" orientation="portrait" paperSize="9" scale="72" r:id="rId2"/>
  <legacy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E12" sqref="E12:G12"/>
    </sheetView>
  </sheetViews>
  <sheetFormatPr defaultColWidth="9.140625" defaultRowHeight="11.25"/>
  <cols>
    <col min="1" max="2" width="0" style="46"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23" t="str">
        <f>FORMCODE</f>
        <v>EE.NET.BAL.4.178</v>
      </c>
      <c r="H4" s="223"/>
    </row>
    <row r="5" spans="7:8" ht="11.25">
      <c r="G5" s="223" t="str">
        <f>VERSION</f>
        <v>Версия 1.0</v>
      </c>
      <c r="H5" s="223"/>
    </row>
    <row r="6" spans="7:8" ht="12" thickBot="1">
      <c r="G6" s="72"/>
      <c r="H6" s="72"/>
    </row>
    <row r="7" spans="7:8" ht="12" hidden="1" thickBot="1">
      <c r="G7" s="281">
        <f>FORMID</f>
        <v>0</v>
      </c>
      <c r="H7" s="281"/>
    </row>
    <row r="8" spans="1:8" s="89" customFormat="1" ht="15" customHeight="1">
      <c r="A8" s="88"/>
      <c r="B8" s="88"/>
      <c r="D8" s="276" t="s">
        <v>49</v>
      </c>
      <c r="E8" s="277"/>
      <c r="F8" s="277"/>
      <c r="G8" s="277"/>
      <c r="H8" s="278"/>
    </row>
    <row r="9" spans="1:8" s="89" customFormat="1" ht="15" customHeight="1" thickBot="1">
      <c r="A9" s="88"/>
      <c r="B9" s="88"/>
      <c r="D9" s="282" t="str">
        <f>COMPANY</f>
        <v>ООО "Воздушные ворота северной столицы"</v>
      </c>
      <c r="E9" s="283"/>
      <c r="F9" s="283"/>
      <c r="G9" s="283"/>
      <c r="H9" s="284"/>
    </row>
    <row r="10" spans="4:8" ht="11.25">
      <c r="D10" s="231"/>
      <c r="E10" s="231"/>
      <c r="F10" s="231"/>
      <c r="G10" s="231"/>
      <c r="H10" s="231"/>
    </row>
    <row r="11" spans="4:8" ht="15" customHeight="1" thickBot="1">
      <c r="D11" s="33"/>
      <c r="E11" s="34"/>
      <c r="F11" s="34"/>
      <c r="G11" s="34"/>
      <c r="H11" s="37"/>
    </row>
    <row r="12" spans="4:8" ht="29.25" customHeight="1">
      <c r="D12" s="32"/>
      <c r="E12" s="291"/>
      <c r="F12" s="292"/>
      <c r="G12" s="293"/>
      <c r="H12" s="38"/>
    </row>
    <row r="13" spans="4:8" ht="29.25" customHeight="1">
      <c r="D13" s="32"/>
      <c r="E13" s="294"/>
      <c r="F13" s="295"/>
      <c r="G13" s="296"/>
      <c r="H13" s="38"/>
    </row>
    <row r="14" spans="4:8" ht="29.25" customHeight="1">
      <c r="D14" s="32"/>
      <c r="E14" s="285"/>
      <c r="F14" s="286"/>
      <c r="G14" s="287"/>
      <c r="H14" s="38"/>
    </row>
    <row r="15" spans="4:8" ht="29.25" customHeight="1">
      <c r="D15" s="32"/>
      <c r="E15" s="285"/>
      <c r="F15" s="286"/>
      <c r="G15" s="287"/>
      <c r="H15" s="38"/>
    </row>
    <row r="16" spans="4:8" ht="29.25" customHeight="1">
      <c r="D16" s="32"/>
      <c r="E16" s="285"/>
      <c r="F16" s="286"/>
      <c r="G16" s="287"/>
      <c r="H16" s="38"/>
    </row>
    <row r="17" spans="4:8" ht="29.25" customHeight="1">
      <c r="D17" s="32"/>
      <c r="E17" s="285"/>
      <c r="F17" s="286"/>
      <c r="G17" s="287"/>
      <c r="H17" s="38"/>
    </row>
    <row r="18" spans="4:8" ht="29.25" customHeight="1">
      <c r="D18" s="32"/>
      <c r="E18" s="285"/>
      <c r="F18" s="286"/>
      <c r="G18" s="287"/>
      <c r="H18" s="38"/>
    </row>
    <row r="19" spans="1:8" s="57" customFormat="1" ht="29.25" customHeight="1">
      <c r="A19" s="58"/>
      <c r="B19" s="58"/>
      <c r="D19" s="32"/>
      <c r="E19" s="285"/>
      <c r="F19" s="286"/>
      <c r="G19" s="287"/>
      <c r="H19" s="38"/>
    </row>
    <row r="20" spans="1:8" s="57" customFormat="1" ht="29.25" customHeight="1">
      <c r="A20" s="58"/>
      <c r="B20" s="58"/>
      <c r="D20" s="32"/>
      <c r="E20" s="285"/>
      <c r="F20" s="286"/>
      <c r="G20" s="287"/>
      <c r="H20" s="38"/>
    </row>
    <row r="21" spans="1:8" s="57" customFormat="1" ht="29.25" customHeight="1" thickBot="1">
      <c r="A21" s="58"/>
      <c r="B21" s="58"/>
      <c r="D21" s="32"/>
      <c r="E21" s="288"/>
      <c r="F21" s="289"/>
      <c r="G21" s="290"/>
      <c r="H21" s="38"/>
    </row>
    <row r="22" spans="4:8" ht="15" customHeight="1">
      <c r="D22" s="35"/>
      <c r="E22" s="36"/>
      <c r="F22" s="36"/>
      <c r="G22" s="36"/>
      <c r="H22" s="39"/>
    </row>
  </sheetData>
  <sheetProtection password="E4D4" sheet="1" formatColumns="0" formatRows="0"/>
  <mergeCells count="16">
    <mergeCell ref="E18:G18"/>
    <mergeCell ref="E19:G19"/>
    <mergeCell ref="E20:G20"/>
    <mergeCell ref="E21:G21"/>
    <mergeCell ref="E12:G12"/>
    <mergeCell ref="E13:G13"/>
    <mergeCell ref="E14:G14"/>
    <mergeCell ref="E15:G15"/>
    <mergeCell ref="E16:G16"/>
    <mergeCell ref="E17:G17"/>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F36" sqref="F36"/>
    </sheetView>
  </sheetViews>
  <sheetFormatPr defaultColWidth="9.140625" defaultRowHeight="11.25"/>
  <cols>
    <col min="1" max="2" width="0" style="46" hidden="1" customWidth="1"/>
    <col min="5" max="5" width="26.5742187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ht="11.25">
      <c r="H4" s="45"/>
    </row>
    <row r="5" ht="12" thickBot="1">
      <c r="H5" s="45"/>
    </row>
    <row r="6" spans="1:8" s="89" customFormat="1" ht="15" customHeight="1">
      <c r="A6" s="88"/>
      <c r="B6" s="88"/>
      <c r="D6" s="276" t="s">
        <v>25</v>
      </c>
      <c r="E6" s="277"/>
      <c r="F6" s="277"/>
      <c r="G6" s="277"/>
      <c r="H6" s="278"/>
    </row>
    <row r="7" spans="1:8" s="89" customFormat="1" ht="15" customHeight="1" thickBot="1">
      <c r="A7" s="88"/>
      <c r="B7" s="88"/>
      <c r="D7" s="282" t="str">
        <f>Титульный!F14</f>
        <v>ООО "Воздушные ворота северной столицы"</v>
      </c>
      <c r="E7" s="283"/>
      <c r="F7" s="283"/>
      <c r="G7" s="283"/>
      <c r="H7" s="284"/>
    </row>
    <row r="8" spans="4:8" ht="11.25">
      <c r="D8" s="297"/>
      <c r="E8" s="297"/>
      <c r="F8" s="297"/>
      <c r="G8" s="297"/>
      <c r="H8" s="297"/>
    </row>
    <row r="9" spans="4:8" ht="15" customHeight="1" thickBot="1">
      <c r="D9" s="33"/>
      <c r="E9" s="34"/>
      <c r="F9" s="34"/>
      <c r="G9" s="34"/>
      <c r="H9" s="37"/>
    </row>
    <row r="10" spans="4:8" ht="18" customHeight="1" thickBot="1">
      <c r="D10" s="32"/>
      <c r="E10" s="60" t="s">
        <v>26</v>
      </c>
      <c r="F10" s="61" t="s">
        <v>27</v>
      </c>
      <c r="G10" s="62" t="s">
        <v>28</v>
      </c>
      <c r="H10" s="38"/>
    </row>
    <row r="11" spans="1:8" s="57" customFormat="1" ht="15" customHeight="1">
      <c r="A11" s="58"/>
      <c r="B11" s="58"/>
      <c r="D11" s="32"/>
      <c r="E11" s="59">
        <v>1</v>
      </c>
      <c r="F11" s="41">
        <v>2</v>
      </c>
      <c r="G11" s="41">
        <v>3</v>
      </c>
      <c r="H11" s="38"/>
    </row>
    <row r="12" spans="1:8" s="57" customFormat="1" ht="11.25">
      <c r="A12" s="58"/>
      <c r="B12" s="58"/>
      <c r="D12" s="32"/>
      <c r="E12" s="199"/>
      <c r="F12" s="64"/>
      <c r="G12" s="63"/>
      <c r="H12" s="38"/>
    </row>
    <row r="13" spans="1:8" s="57" customFormat="1" ht="11.25" hidden="1">
      <c r="A13" s="58"/>
      <c r="B13" s="58"/>
      <c r="D13" s="32"/>
      <c r="E13" s="65"/>
      <c r="F13" s="64"/>
      <c r="G13" s="63"/>
      <c r="H13" s="38"/>
    </row>
    <row r="14" spans="4:8" ht="15" customHeight="1">
      <c r="D14" s="35"/>
      <c r="E14" s="36"/>
      <c r="F14" s="36"/>
      <c r="G14" s="36"/>
      <c r="H14" s="39"/>
    </row>
    <row r="16" ht="11.25">
      <c r="E16" s="71"/>
    </row>
    <row r="17" ht="11.25">
      <c r="E17" s="71"/>
    </row>
    <row r="18" ht="11.25">
      <c r="E18" s="71"/>
    </row>
    <row r="19" ht="11.25">
      <c r="E19" s="71"/>
    </row>
    <row r="20" ht="11.25">
      <c r="E20" s="71"/>
    </row>
    <row r="21" ht="11.25">
      <c r="E21" s="71"/>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Elizaveta G. Lobashova</cp:lastModifiedBy>
  <cp:lastPrinted>2014-03-04T10:04:50Z</cp:lastPrinted>
  <dcterms:created xsi:type="dcterms:W3CDTF">2012-05-02T09:06:49Z</dcterms:created>
  <dcterms:modified xsi:type="dcterms:W3CDTF">2015-02-25T06:56:58Z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EE.NET.BAL.4.178</vt:lpwstr>
  </property>
  <property fmtid="{D5CDD505-2E9C-101B-9397-08002B2CF9AE}" pid="3" name="VERSION">
    <vt:lpwstr>Версия 1.0</vt:lpwstr>
  </property>
  <property fmtid="{D5CDD505-2E9C-101B-9397-08002B2CF9AE}" pid="4" name="FORMNAME">
    <vt:lpwstr>Баланс электрической энергии и мощности организации, оказывающей услуги по передаче электрической энергии</vt:lpwstr>
  </property>
  <property fmtid="{D5CDD505-2E9C-101B-9397-08002B2CF9AE}" pid="5" name="SPHERE">
    <vt:lpwstr>EE</vt:lpwstr>
  </property>
  <property fmtid="{D5CDD505-2E9C-101B-9397-08002B2CF9AE}" pid="6" name="CHKSTATUS">
    <vt:i4>0</vt:i4>
  </property>
  <property fmtid="{D5CDD505-2E9C-101B-9397-08002B2CF9AE}" pid="7" name="COMPANY">
    <vt:lpwstr>ООО "Воздушные ворота северной столицы"</vt:lpwstr>
  </property>
  <property fmtid="{D5CDD505-2E9C-101B-9397-08002B2CF9AE}" pid="8" name="PERIOD">
    <vt:lpwstr>2014</vt:lpwstr>
  </property>
  <property fmtid="{D5CDD505-2E9C-101B-9397-08002B2CF9AE}" pid="9" name="PERIOD2">
    <vt:lpwstr>Год</vt:lpwstr>
  </property>
  <property fmtid="{D5CDD505-2E9C-101B-9397-08002B2CF9AE}" pid="10" name="PF">
    <vt:lpwstr>Факт</vt:lpwstr>
  </property>
</Properties>
</file>